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95" yWindow="65461" windowWidth="13770" windowHeight="10515" activeTab="2"/>
  </bookViews>
  <sheets>
    <sheet name="Info" sheetId="1" r:id="rId1"/>
    <sheet name="Budget" sheetId="2" r:id="rId2"/>
    <sheet name="Check Lists" sheetId="3" r:id="rId3"/>
    <sheet name="Time Line" sheetId="4" r:id="rId4"/>
    <sheet name="Awards" sheetId="5" r:id="rId5"/>
    <sheet name="T-Shirts"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<sst xmlns="http://schemas.openxmlformats.org/spreadsheetml/2006/main" count="403" uniqueCount="337">
  <si>
    <t>Trouble table set-up</t>
  </si>
  <si>
    <t>Course officials/marshals briefed</t>
  </si>
  <si>
    <t>Start/Finish officials briefed</t>
  </si>
  <si>
    <t>Official starter equipped and briefed</t>
  </si>
  <si>
    <t>Start/finish banner(s) mounted</t>
  </si>
  <si>
    <t>Start/finish review stands assembled</t>
  </si>
  <si>
    <t>PA system(s) bullhorns functioning</t>
  </si>
  <si>
    <t>Start/Finish line equipment in place:</t>
  </si>
  <si>
    <t>pace/seeding signs</t>
  </si>
  <si>
    <t>finish tape</t>
  </si>
  <si>
    <t>chute materials (stanchions, rope)</t>
  </si>
  <si>
    <t>digital clock</t>
  </si>
  <si>
    <t>Chronomix timers</t>
  </si>
  <si>
    <t>computer system (working)</t>
  </si>
  <si>
    <t>recording sheets, clipboards, pencils for timers, select timers, bib number recorders</t>
  </si>
  <si>
    <t>bar code spindles (if applicable)</t>
  </si>
  <si>
    <t>tables/chairs</t>
  </si>
  <si>
    <t>electric power hook-up (generator)</t>
  </si>
  <si>
    <t>water station set-up</t>
  </si>
  <si>
    <t>Restroom facilities in place</t>
  </si>
  <si>
    <t>Clothing check-in in place</t>
  </si>
  <si>
    <t>Medical area set-up</t>
  </si>
  <si>
    <t>isolated, covered area near finish line</t>
  </si>
  <si>
    <t>supervising MD and qualified nurses, EMT’s</t>
  </si>
  <si>
    <t>communications</t>
  </si>
  <si>
    <t>ice, IV’s, hot and cold fluids, cots, blankets</t>
  </si>
  <si>
    <t>immediate triage capability</t>
  </si>
  <si>
    <t>Water stations materials in place:</t>
  </si>
  <si>
    <t>water/electrolyte replacement fluid</t>
  </si>
  <si>
    <t>cups</t>
  </si>
  <si>
    <t>pitchers</t>
  </si>
  <si>
    <t>barrels/trash bags</t>
  </si>
  <si>
    <t>rakes (for clean-up)</t>
  </si>
  <si>
    <t>Course material in place</t>
  </si>
  <si>
    <t>mile/kilometer markers</t>
  </si>
  <si>
    <t>directional arrows</t>
  </si>
  <si>
    <t>water/aid station markers</t>
  </si>
  <si>
    <t>communication equipment/personnel (ham radio volunteers)</t>
  </si>
  <si>
    <t>stop watches for mile split callers</t>
  </si>
  <si>
    <t>Results area functioning:</t>
  </si>
  <si>
    <t>Refreshments area functioning:</t>
  </si>
  <si>
    <t>Awards area functioning:</t>
  </si>
  <si>
    <t>Post Race</t>
  </si>
  <si>
    <t>Press release with results</t>
  </si>
  <si>
    <t>Post race stories/photos to press</t>
  </si>
  <si>
    <t>Post race mailing to participants</t>
  </si>
  <si>
    <t>Thank you’s to sponsors, volunteers, contributors, municipalities, facility owners</t>
  </si>
  <si>
    <t>Post-race evaluation meeting with organizing committee</t>
  </si>
  <si>
    <t>Volunteer/Officials party</t>
  </si>
  <si>
    <t>Award Worksheet</t>
  </si>
  <si>
    <t>1st</t>
  </si>
  <si>
    <t>2nd</t>
  </si>
  <si>
    <t>3rd</t>
  </si>
  <si>
    <t>4th</t>
  </si>
  <si>
    <t>5th</t>
  </si>
  <si>
    <t>Overall</t>
  </si>
  <si>
    <t>Masters</t>
  </si>
  <si>
    <t>Grand Masters</t>
  </si>
  <si>
    <t>Clydesdale</t>
  </si>
  <si>
    <t>1 To 14</t>
  </si>
  <si>
    <t>14 To 17</t>
  </si>
  <si>
    <t>20 To 24</t>
  </si>
  <si>
    <t>25 To 29</t>
  </si>
  <si>
    <t>30 To 34</t>
  </si>
  <si>
    <t>35 To 39</t>
  </si>
  <si>
    <t>40 To 44</t>
  </si>
  <si>
    <t>45 To 49</t>
  </si>
  <si>
    <t>50 To 54</t>
  </si>
  <si>
    <t>55 To 59</t>
  </si>
  <si>
    <t>60 To 64</t>
  </si>
  <si>
    <t>65 To 69</t>
  </si>
  <si>
    <t>70 To 74</t>
  </si>
  <si>
    <t>X</t>
  </si>
  <si>
    <t>L</t>
  </si>
  <si>
    <t>M</t>
  </si>
  <si>
    <t>S</t>
  </si>
  <si>
    <t>Equipment</t>
  </si>
  <si>
    <t>PA Systems</t>
  </si>
  <si>
    <t>Tents</t>
  </si>
  <si>
    <t>Tables</t>
  </si>
  <si>
    <t>Runner Spifs</t>
  </si>
  <si>
    <t>Finisher Medals</t>
  </si>
  <si>
    <t>Design &amp; Productioon</t>
  </si>
  <si>
    <t>Signage</t>
  </si>
  <si>
    <t>Banners</t>
  </si>
  <si>
    <t>Screen Printing</t>
  </si>
  <si>
    <t>Regional Publications</t>
  </si>
  <si>
    <t>National Publications</t>
  </si>
  <si>
    <t>Rescue Squad</t>
  </si>
  <si>
    <t>Misc Supplies</t>
  </si>
  <si>
    <t>Photography</t>
  </si>
  <si>
    <t>Race Name:</t>
  </si>
  <si>
    <t>Race Date:</t>
  </si>
  <si>
    <t>Distance:</t>
  </si>
  <si>
    <t>Registration Start:</t>
  </si>
  <si>
    <t>Event Time:</t>
  </si>
  <si>
    <t>Desired Water Stops:</t>
  </si>
  <si>
    <t>Actual Water Stops</t>
  </si>
  <si>
    <t>Number of Turns:</t>
  </si>
  <si>
    <t>Estimated Runners:</t>
  </si>
  <si>
    <t>Race Day Fee:</t>
  </si>
  <si>
    <t>Preregistration Fee:</t>
  </si>
  <si>
    <t>Preregistration %:</t>
  </si>
  <si>
    <t>Volunteers</t>
  </si>
  <si>
    <t xml:space="preserve">  Course</t>
  </si>
  <si>
    <t xml:space="preserve">  Registration</t>
  </si>
  <si>
    <t xml:space="preserve">  Water Stops</t>
  </si>
  <si>
    <t>Water Requirements:</t>
  </si>
  <si>
    <t>Total</t>
  </si>
  <si>
    <t xml:space="preserve">   Cups</t>
  </si>
  <si>
    <t xml:space="preserve">   Gallons at each stop:</t>
  </si>
  <si>
    <t xml:space="preserve">   Gallons at start/finish:</t>
  </si>
  <si>
    <t>Expenses</t>
  </si>
  <si>
    <t>Each</t>
  </si>
  <si>
    <t>Quantity</t>
  </si>
  <si>
    <t>Printing</t>
  </si>
  <si>
    <t>Brochures</t>
  </si>
  <si>
    <t>Posters</t>
  </si>
  <si>
    <t>Race Bibs</t>
  </si>
  <si>
    <t>Mailing Labels</t>
  </si>
  <si>
    <t>Administration:</t>
  </si>
  <si>
    <t>Race Director Fees</t>
  </si>
  <si>
    <t>Finish Line Fees</t>
  </si>
  <si>
    <t>Police Support</t>
  </si>
  <si>
    <t>On-Site Security</t>
  </si>
  <si>
    <t>Insurance</t>
  </si>
  <si>
    <t>Mailing</t>
  </si>
  <si>
    <t>Course Certification</t>
  </si>
  <si>
    <t>Refreshments:</t>
  </si>
  <si>
    <t>Beer</t>
  </si>
  <si>
    <t>Fruit</t>
  </si>
  <si>
    <t>Electrolyte Drinks</t>
  </si>
  <si>
    <t>Water</t>
  </si>
  <si>
    <t>Cups</t>
  </si>
  <si>
    <t>T-shirts</t>
  </si>
  <si>
    <t>X-Large</t>
  </si>
  <si>
    <t>Large</t>
  </si>
  <si>
    <t>Medium</t>
  </si>
  <si>
    <t>Small</t>
  </si>
  <si>
    <t>Portable Toilets</t>
  </si>
  <si>
    <t>Advertising:</t>
  </si>
  <si>
    <t>Television</t>
  </si>
  <si>
    <t>Newspaper</t>
  </si>
  <si>
    <t>Radio</t>
  </si>
  <si>
    <t>Awards:</t>
  </si>
  <si>
    <t>Medals</t>
  </si>
  <si>
    <t>Trophies</t>
  </si>
  <si>
    <t>Prize Money</t>
  </si>
  <si>
    <t>Total Expenses</t>
  </si>
  <si>
    <t>Revenues</t>
  </si>
  <si>
    <t>Entry Fees:</t>
  </si>
  <si>
    <t>Runners Fees</t>
  </si>
  <si>
    <t xml:space="preserve">    Pregistration:</t>
  </si>
  <si>
    <t>Walkers Fees</t>
  </si>
  <si>
    <t>Sponsors:</t>
  </si>
  <si>
    <t>Sponsor A</t>
  </si>
  <si>
    <t>Sponsor B</t>
  </si>
  <si>
    <t>Sponsor C</t>
  </si>
  <si>
    <t>Total Revenue</t>
  </si>
  <si>
    <t>Net Gain (Loss)</t>
  </si>
  <si>
    <t>Task</t>
  </si>
  <si>
    <t>Date</t>
  </si>
  <si>
    <t>Time</t>
  </si>
  <si>
    <t>Assigned To</t>
  </si>
  <si>
    <t>Sponsors and donations committee and chair established</t>
  </si>
  <si>
    <t>Keith Stone</t>
  </si>
  <si>
    <t>Notify Runner's World</t>
  </si>
  <si>
    <t>Notify Running Times</t>
  </si>
  <si>
    <t>Select course</t>
  </si>
  <si>
    <t>Notify Police</t>
  </si>
  <si>
    <t>Publicity and promotion committee and chair established</t>
  </si>
  <si>
    <t>Buy ads in Running Journal</t>
  </si>
  <si>
    <t>Obtain Parade Permit</t>
  </si>
  <si>
    <t>Obtain State Permits</t>
  </si>
  <si>
    <t>Print Brochures</t>
  </si>
  <si>
    <t>Print Posters</t>
  </si>
  <si>
    <t>Obtain USATF Sanction or other insurance</t>
  </si>
  <si>
    <t>Direct Mailing</t>
  </si>
  <si>
    <t>Order Awards</t>
  </si>
  <si>
    <t>N/A</t>
  </si>
  <si>
    <t>Get race brochures in TCTC newsletter</t>
  </si>
  <si>
    <t>Obtain Certificates of Insurance</t>
  </si>
  <si>
    <t>Order Race Bibs</t>
  </si>
  <si>
    <t>Registration committee and chair established</t>
  </si>
  <si>
    <t>Aid stations committee and chair established</t>
  </si>
  <si>
    <t>Awards committee and chair established</t>
  </si>
  <si>
    <t>Clean-up committee and chair established</t>
  </si>
  <si>
    <t>Course volunteers committee and chair established</t>
  </si>
  <si>
    <t>Medical committee and chair established</t>
  </si>
  <si>
    <t>Refreshments committee and chair established</t>
  </si>
  <si>
    <t>Results committee and chair established</t>
  </si>
  <si>
    <t>Complete Course Measurement &amp; Certification</t>
  </si>
  <si>
    <t>Order T-shirts</t>
  </si>
  <si>
    <t>Fire department notified</t>
  </si>
  <si>
    <t>Medical services arranged or notified</t>
  </si>
  <si>
    <t>Police Liaison/details arranged</t>
  </si>
  <si>
    <t>Press/Course vehicles obtained</t>
  </si>
  <si>
    <t>Safety pins obtained</t>
  </si>
  <si>
    <t>Signage prepared for course and race site</t>
  </si>
  <si>
    <t>T-shirts/other give-away items obtained</t>
  </si>
  <si>
    <t>Get cash for race date registration</t>
  </si>
  <si>
    <t>Entry fees deposited</t>
  </si>
  <si>
    <t>Entry forms filed in numerical order</t>
  </si>
  <si>
    <t>Pick up cups for water</t>
  </si>
  <si>
    <t xml:space="preserve">Pick up food </t>
  </si>
  <si>
    <t>Place course Mile Markers</t>
  </si>
  <si>
    <t>Runner's information prepared for distribution and/or posting on race day:</t>
  </si>
  <si>
    <t>Distribute or post medical/weather information</t>
  </si>
  <si>
    <t>Distribute or post timing/starting line-up information</t>
  </si>
  <si>
    <t>Distribute or post course map with mile markers and aid stations</t>
  </si>
  <si>
    <t>Post signs for clothing drop, check-in, changing facilities, and showers</t>
  </si>
  <si>
    <t>Post results</t>
  </si>
  <si>
    <t xml:space="preserve"> Volunteer/Official area assembled</t>
  </si>
  <si>
    <t xml:space="preserve"> Press area assembled</t>
  </si>
  <si>
    <t xml:space="preserve"> Pre-registered runners area</t>
  </si>
  <si>
    <t>Porta-Jons:</t>
  </si>
  <si>
    <t>Winning Time:</t>
  </si>
  <si>
    <t>Final Finisher:</t>
  </si>
  <si>
    <t xml:space="preserve">   Average Pace</t>
  </si>
  <si>
    <t>Notes</t>
  </si>
  <si>
    <t>Entry forms, pens, pencils, race numbers, safety pins, race packets, cash box, change.</t>
  </si>
  <si>
    <t xml:space="preserve">Set-up race day registration area </t>
  </si>
  <si>
    <t>Tables, chairs, signage, copying machine, fax,  race information, print-outs</t>
  </si>
  <si>
    <t>Tables, chairs, signage posted, coffee, refreshments, T-shirt, Official identification,  Instructional briefings prepared</t>
  </si>
  <si>
    <t>List, printout posted, number pick-up, t-shirt/packet pick-up</t>
  </si>
  <si>
    <t>Someone very familiar with course should serve as guide in each vehicle!</t>
  </si>
  <si>
    <t>Provide vehicle with water, cups, blankets, first–aid kit, etc.</t>
  </si>
  <si>
    <t>Provide with shot-list</t>
  </si>
  <si>
    <t>Official photographer(s) briefed</t>
  </si>
  <si>
    <t>Press/Course vehicle drivers briefed</t>
  </si>
  <si>
    <t>Trail sweep vehicle driver briefed</t>
  </si>
  <si>
    <t>Tables, trays, ice, knives, forks, spoons (depends on foods available), napkins, trash barrels, bags</t>
  </si>
  <si>
    <t>Course, start and finish area, locker rooms, etc. Verify coursemarking signage is collected.</t>
  </si>
  <si>
    <t>Tables, chairs, podium, announcing stand, PA system, results posting board, area, awards display area, with awards arranged in order of distribution.</t>
  </si>
  <si>
    <t>Isolated area close to finish line, tables, chairs, electric power hook-up, computer and printer, telephone, fax, copying machine, pre-printed awards/results sheets.</t>
  </si>
  <si>
    <t>Clean-up accomplished</t>
  </si>
  <si>
    <t>Race-Director:</t>
  </si>
  <si>
    <t>Co-Director:</t>
  </si>
  <si>
    <t>Site Logistics Chair:</t>
  </si>
  <si>
    <t>Sponsors &amp; Donations Chair:</t>
  </si>
  <si>
    <t>Publicity &amp; Promotion Chair:</t>
  </si>
  <si>
    <t>Registration Chair:</t>
  </si>
  <si>
    <t>Aid Station Chair:</t>
  </si>
  <si>
    <t>Results Chair:</t>
  </si>
  <si>
    <t>Finish line (timing) committee and chair established</t>
  </si>
  <si>
    <t>Finish Line (timing) Chair 1:</t>
  </si>
  <si>
    <t>Finish Line (timing) Chair 2:</t>
  </si>
  <si>
    <t>Time at each mile mark:</t>
  </si>
  <si>
    <t>Leader</t>
  </si>
  <si>
    <t>Trailer</t>
  </si>
  <si>
    <t>Tongue Depressors #1-114</t>
  </si>
  <si>
    <t>Tongue Depressors #1-20</t>
  </si>
  <si>
    <t>Water Hoses (at least 200 feet)</t>
  </si>
  <si>
    <t>Cones</t>
  </si>
  <si>
    <t>Coolers</t>
  </si>
  <si>
    <t>Ice</t>
  </si>
  <si>
    <t>Gatorade</t>
  </si>
  <si>
    <t>Handheld PA (charged)</t>
  </si>
  <si>
    <t>Orange Starter Flags &amp; Gloves</t>
  </si>
  <si>
    <t>Paper Cups</t>
  </si>
  <si>
    <t>Trash Bags</t>
  </si>
  <si>
    <t>Sound System</t>
  </si>
  <si>
    <t>TCTC Banners</t>
  </si>
  <si>
    <t>Time Machines (charged)</t>
  </si>
  <si>
    <t>Digital Clocks (charged)</t>
  </si>
  <si>
    <t>Stapler (and staples)</t>
  </si>
  <si>
    <t>1st Aid Kit</t>
  </si>
  <si>
    <t>Clipboards</t>
  </si>
  <si>
    <t>Equipment Checklist</t>
  </si>
  <si>
    <t>Night Before Race</t>
  </si>
  <si>
    <t>Plug in Time Machine and clocks. You'll need at least two clocks and Time Machines.</t>
  </si>
  <si>
    <t>Check the laptops and make sure they come up, and that the printer works and has paper.</t>
  </si>
  <si>
    <t>Every Race</t>
  </si>
  <si>
    <t>Mile Markers (one for each mile)</t>
  </si>
  <si>
    <t>Ultimate</t>
  </si>
  <si>
    <t>At least 100 caps for the starter pistol</t>
  </si>
  <si>
    <t>Tape for posting results</t>
  </si>
  <si>
    <t>Finish banner and stanchions</t>
  </si>
  <si>
    <t xml:space="preserve">Check each Time Machine bag (blue bags) and verify there is a plunger, charger, and DB-9 computer cable. </t>
  </si>
  <si>
    <t>Check the race pack and verify there are stringers, duct tape, WD-40, Pens, Paper Punch, Bandit tags and registration signs. You'll need one stringer for each 25 runners and at least one bandit tag per stringer.</t>
  </si>
  <si>
    <t>Chute Materials (stanchions, flagging)</t>
  </si>
  <si>
    <t>Every TCTC Race</t>
  </si>
  <si>
    <t>Tables for registration and food</t>
  </si>
  <si>
    <t>At least one table for timers</t>
  </si>
  <si>
    <t>At least three chairs for timers</t>
  </si>
  <si>
    <t>Safety Pins</t>
  </si>
  <si>
    <t>Bibs</t>
  </si>
  <si>
    <t>Extension cords</t>
  </si>
  <si>
    <t>Wednesday Before Race</t>
  </si>
  <si>
    <t>Complete pre-registration data entry</t>
  </si>
  <si>
    <t>Turn off online registration</t>
  </si>
  <si>
    <t>Merge mail-in and online registration</t>
  </si>
  <si>
    <t>Assign bib numbers</t>
  </si>
  <si>
    <t>Obtain bib number range from race organizers</t>
  </si>
  <si>
    <t>Print bib labels</t>
  </si>
  <si>
    <t>Print pre-registration lists</t>
  </si>
  <si>
    <t>Check the silver case and make sure the gun is there and has bullets. Verify that there is one working stopwatch for each mile and two additional watches for the finish line.</t>
  </si>
  <si>
    <t>Race Pack with stringers, duct tape, WD-40, pens, registration signs, bandit tags, paper punch</t>
  </si>
  <si>
    <t>Chairs for registration and food</t>
  </si>
  <si>
    <t>Case with Starter Pistol and stop watches</t>
  </si>
  <si>
    <t>They need to validate that entry forms are legible.</t>
  </si>
  <si>
    <t>They MUST write the name, age, and sex on the bib tear-off and they must write the bib number clearly on the entry form before giving the bib to the participant.</t>
  </si>
  <si>
    <t>People pulling tags must place them FACE DOWN on the string and not gather them in their hand.</t>
  </si>
  <si>
    <t>What to tell Registration People Before Registration Starts</t>
  </si>
  <si>
    <t>Only one name per registration form.</t>
  </si>
  <si>
    <t>Information Needed Before Race Week</t>
  </si>
  <si>
    <t>Verify age groups and awards and communicate that to results personnel</t>
  </si>
  <si>
    <t>What to Tell Finish Line People Before Race Starts</t>
  </si>
  <si>
    <t>Mistletoe Runs</t>
  </si>
  <si>
    <t>Half</t>
  </si>
  <si>
    <t>5K</t>
  </si>
  <si>
    <t>Beth Hair</t>
  </si>
  <si>
    <t>Before Race is Advertised</t>
  </si>
  <si>
    <t>Responsibility</t>
  </si>
  <si>
    <t>TCTC Board, Event Coordinator</t>
  </si>
  <si>
    <t>Race &amp; Equipment, Event Coordinator, Webmaster</t>
  </si>
  <si>
    <t>What to Announce at Start</t>
  </si>
  <si>
    <t>Finish Line Director, Results Coordinator, Event Coordinator</t>
  </si>
  <si>
    <t>Review proposed race brochure and make sure it's complete and encouraged legibility. Full name including middle initial, address, city, state, ZIP, phone, email, birth date, age on race day and gender need to be on the form.</t>
  </si>
  <si>
    <t xml:space="preserve">Communicate prices, dates, cut-offs, and contact information to webmaster to set-up online registration and web calendar. </t>
  </si>
  <si>
    <t>They need to inform participants that the bib must be on the front and visible and that they should NOT tear off anything before the race finishes.</t>
  </si>
  <si>
    <t>People must were their bib visibly</t>
  </si>
  <si>
    <t>Event Coordinator, Finish Line Director</t>
  </si>
  <si>
    <t>Advertising the Race</t>
  </si>
  <si>
    <t>Create online registration and web calendar</t>
  </si>
  <si>
    <t>Webmaster</t>
  </si>
  <si>
    <t xml:space="preserve">Event Coordinator, Race &amp; Equipment </t>
  </si>
  <si>
    <t>Event Coordinator, Flyer Editor</t>
  </si>
  <si>
    <t>Deliver 600 brochures to Flyer Editor</t>
  </si>
  <si>
    <t>Select list for direct mail campaign</t>
  </si>
  <si>
    <t>Finish Line Director</t>
  </si>
  <si>
    <t>Event Registration Coordinator</t>
  </si>
  <si>
    <t>Send file of pre-registered runners to club database manager</t>
  </si>
  <si>
    <t>Webmaster, Event Coordinator</t>
  </si>
  <si>
    <t>Submit race to Winston Salem Journal, CoolRunning.com, RunnersWorld.Com</t>
  </si>
  <si>
    <t>Create RunScore file for laptop</t>
  </si>
  <si>
    <t>Race &amp; Equipment, Finish Line Director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</si>
</sst>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s>
  <fonts count="10">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1"/>
      <name val="Arial"/>
      <family val="2"/>
    </font>
    <font>
      <sz val="12"/>
      <name val="Arial"/>
      <family val="2"/>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ont="1" applyAlignment="1">
      <alignment/>
    </xf>
    <xf numFmtId="16" fontId="0" fillId="0" borderId="0" xfId="0" applyNumberFormat="1" applyAlignment="1">
      <alignment/>
    </xf>
    <xf numFmtId="10" fontId="0" fillId="0" borderId="0" xfId="0" applyNumberFormat="1" applyAlignment="1">
      <alignment/>
    </xf>
    <xf numFmtId="0" fontId="0" fillId="0" borderId="0" xfId="0" applyAlignment="1">
      <alignment horizontal="right"/>
    </xf>
    <xf numFmtId="0" fontId="1" fillId="0" borderId="1" xfId="0" applyFont="1" applyBorder="1" applyAlignment="1">
      <alignment horizontal="right"/>
    </xf>
    <xf numFmtId="0" fontId="0" fillId="0" borderId="1" xfId="0" applyBorder="1" applyAlignment="1">
      <alignment/>
    </xf>
    <xf numFmtId="0" fontId="1" fillId="0" borderId="2" xfId="0" applyFont="1" applyBorder="1" applyAlignment="1">
      <alignment/>
    </xf>
    <xf numFmtId="0" fontId="1" fillId="0" borderId="3" xfId="0" applyFont="1" applyBorder="1" applyAlignment="1">
      <alignment/>
    </xf>
    <xf numFmtId="0" fontId="0" fillId="0" borderId="0" xfId="0" applyAlignment="1">
      <alignment horizontal="center"/>
    </xf>
    <xf numFmtId="8" fontId="0" fillId="0" borderId="0" xfId="0" applyNumberFormat="1" applyAlignment="1">
      <alignment horizontal="center"/>
    </xf>
    <xf numFmtId="8" fontId="0" fillId="0" borderId="0" xfId="0" applyNumberFormat="1" applyAlignment="1">
      <alignment/>
    </xf>
    <xf numFmtId="8" fontId="0" fillId="0" borderId="1" xfId="0" applyNumberFormat="1" applyBorder="1" applyAlignment="1">
      <alignment/>
    </xf>
    <xf numFmtId="0" fontId="0" fillId="0" borderId="3" xfId="0" applyBorder="1" applyAlignment="1">
      <alignment/>
    </xf>
    <xf numFmtId="8" fontId="0" fillId="0" borderId="3" xfId="0" applyNumberFormat="1" applyBorder="1"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8" fontId="0" fillId="0" borderId="0" xfId="0" applyNumberFormat="1" applyBorder="1" applyAlignment="1">
      <alignment/>
    </xf>
    <xf numFmtId="0" fontId="0" fillId="0" borderId="0" xfId="0" applyAlignment="1">
      <alignment horizontal="left"/>
    </xf>
    <xf numFmtId="14" fontId="0" fillId="0" borderId="0" xfId="0" applyNumberFormat="1" applyAlignment="1">
      <alignment horizontal="center"/>
    </xf>
    <xf numFmtId="0" fontId="1" fillId="0" borderId="4" xfId="0" applyFont="1" applyBorder="1" applyAlignment="1">
      <alignment/>
    </xf>
    <xf numFmtId="0" fontId="1" fillId="0" borderId="4" xfId="0" applyFont="1" applyBorder="1" applyAlignment="1">
      <alignment horizontal="center"/>
    </xf>
    <xf numFmtId="18" fontId="0" fillId="0" borderId="0" xfId="0" applyNumberFormat="1" applyAlignment="1">
      <alignment/>
    </xf>
    <xf numFmtId="0" fontId="0" fillId="0" borderId="0" xfId="0" applyFont="1" applyAlignment="1">
      <alignment wrapText="1"/>
    </xf>
    <xf numFmtId="0" fontId="0" fillId="0" borderId="0" xfId="0" applyFont="1" applyAlignment="1">
      <alignment horizontal="left" wrapText="1"/>
    </xf>
    <xf numFmtId="0" fontId="1" fillId="0" borderId="4" xfId="0" applyFont="1" applyBorder="1" applyAlignment="1">
      <alignment wrapText="1"/>
    </xf>
    <xf numFmtId="18" fontId="0" fillId="0" borderId="0" xfId="0" applyNumberFormat="1" applyAlignment="1">
      <alignment horizontal="right"/>
    </xf>
    <xf numFmtId="0" fontId="0" fillId="0" borderId="0" xfId="0" applyNumberFormat="1" applyAlignment="1">
      <alignment/>
    </xf>
    <xf numFmtId="9" fontId="0" fillId="0" borderId="0" xfId="0" applyNumberFormat="1" applyAlignment="1">
      <alignment/>
    </xf>
    <xf numFmtId="0" fontId="0" fillId="0" borderId="4" xfId="0" applyBorder="1" applyAlignment="1">
      <alignment/>
    </xf>
    <xf numFmtId="21" fontId="0" fillId="0" borderId="0" xfId="0" applyNumberFormat="1" applyAlignment="1">
      <alignment/>
    </xf>
    <xf numFmtId="0" fontId="1" fillId="0" borderId="0" xfId="0" applyFont="1" applyAlignment="1">
      <alignment/>
    </xf>
    <xf numFmtId="14" fontId="1" fillId="0" borderId="0" xfId="0" applyNumberFormat="1" applyFont="1" applyAlignment="1">
      <alignment horizontal="right"/>
    </xf>
    <xf numFmtId="0" fontId="1" fillId="0" borderId="0" xfId="0" applyFont="1" applyAlignment="1">
      <alignment horizontal="right"/>
    </xf>
    <xf numFmtId="18" fontId="0" fillId="0" borderId="0" xfId="0" applyNumberFormat="1" applyAlignment="1">
      <alignment horizontal="center"/>
    </xf>
    <xf numFmtId="0" fontId="0" fillId="0" borderId="0" xfId="0" applyFont="1" applyAlignment="1">
      <alignment vertical="top" wrapText="1"/>
    </xf>
    <xf numFmtId="0" fontId="1" fillId="0" borderId="4" xfId="0" applyFont="1" applyBorder="1" applyAlignment="1">
      <alignment vertical="top" wrapText="1"/>
    </xf>
    <xf numFmtId="0" fontId="0" fillId="0" borderId="0" xfId="0" applyFont="1" applyAlignment="1">
      <alignment horizontal="left" vertical="top" wrapText="1"/>
    </xf>
    <xf numFmtId="0" fontId="2" fillId="0" borderId="0" xfId="0" applyFont="1" applyAlignment="1">
      <alignment wrapText="1"/>
    </xf>
    <xf numFmtId="14" fontId="0" fillId="0" borderId="4" xfId="0" applyNumberFormat="1" applyBorder="1" applyAlignment="1">
      <alignment horizontal="center"/>
    </xf>
    <xf numFmtId="0" fontId="0" fillId="0" borderId="4" xfId="0" applyBorder="1" applyAlignment="1">
      <alignment horizontal="center"/>
    </xf>
    <xf numFmtId="165" fontId="0" fillId="0" borderId="0" xfId="0" applyNumberFormat="1" applyAlignment="1">
      <alignment/>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1" fillId="0" borderId="7" xfId="0" applyFont="1" applyBorder="1" applyAlignment="1">
      <alignment wrapText="1"/>
    </xf>
    <xf numFmtId="0" fontId="0" fillId="0" borderId="8" xfId="0" applyBorder="1" applyAlignment="1">
      <alignment wrapText="1"/>
    </xf>
    <xf numFmtId="0" fontId="0" fillId="0" borderId="0" xfId="0" applyFill="1" applyBorder="1" applyAlignment="1">
      <alignment wrapText="1"/>
    </xf>
    <xf numFmtId="0" fontId="0" fillId="0" borderId="7" xfId="0" applyBorder="1" applyAlignment="1">
      <alignment wrapText="1"/>
    </xf>
    <xf numFmtId="0" fontId="1" fillId="0" borderId="4" xfId="0" applyFont="1" applyBorder="1" applyAlignment="1">
      <alignment wrapText="1"/>
    </xf>
    <xf numFmtId="0" fontId="7" fillId="0" borderId="4" xfId="0" applyFont="1" applyBorder="1" applyAlignment="1">
      <alignment/>
    </xf>
    <xf numFmtId="0" fontId="8" fillId="0" borderId="0" xfId="0" applyFont="1" applyAlignment="1">
      <alignment/>
    </xf>
    <xf numFmtId="0" fontId="7" fillId="0" borderId="0" xfId="0" applyFont="1" applyBorder="1" applyAlignment="1">
      <alignment/>
    </xf>
    <xf numFmtId="0" fontId="1" fillId="0" borderId="4" xfId="0" applyFont="1" applyBorder="1" applyAlignment="1">
      <alignment/>
    </xf>
    <xf numFmtId="0" fontId="1" fillId="0" borderId="4" xfId="0" applyFont="1" applyBorder="1" applyAlignment="1">
      <alignment horizontal="right"/>
    </xf>
    <xf numFmtId="0" fontId="1" fillId="0" borderId="4" xfId="0" applyFont="1" applyBorder="1" applyAlignment="1">
      <alignment horizontal="center"/>
    </xf>
    <xf numFmtId="0" fontId="9" fillId="0" borderId="4" xfId="0" applyFont="1" applyBorder="1" applyAlignment="1">
      <alignment/>
    </xf>
    <xf numFmtId="0" fontId="0" fillId="0" borderId="9" xfId="0" applyFont="1" applyBorder="1" applyAlignment="1">
      <alignment vertical="top" wrapText="1"/>
    </xf>
    <xf numFmtId="0" fontId="2" fillId="0" borderId="9" xfId="0" applyFont="1" applyBorder="1" applyAlignment="1">
      <alignment vertical="top" wrapText="1"/>
    </xf>
    <xf numFmtId="0" fontId="0" fillId="0" borderId="5" xfId="0" applyFont="1" applyBorder="1" applyAlignment="1">
      <alignment vertical="top" wrapText="1"/>
    </xf>
    <xf numFmtId="0" fontId="2" fillId="0" borderId="5" xfId="0" applyFont="1" applyBorder="1" applyAlignment="1">
      <alignment vertical="top" wrapText="1"/>
    </xf>
    <xf numFmtId="0" fontId="8" fillId="0" borderId="4" xfId="0" applyFont="1" applyBorder="1" applyAlignment="1">
      <alignment/>
    </xf>
    <xf numFmtId="0" fontId="0" fillId="0" borderId="4" xfId="0" applyBorder="1" applyAlignment="1">
      <alignment wrapText="1"/>
    </xf>
    <xf numFmtId="0" fontId="8" fillId="0" borderId="0" xfId="0" applyFont="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2" fillId="0" borderId="0" xfId="0" applyFont="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Font="1" applyBorder="1" applyAlignment="1">
      <alignment vertical="top" wrapText="1"/>
    </xf>
    <xf numFmtId="0" fontId="0" fillId="0" borderId="9" xfId="0" applyBorder="1" applyAlignment="1">
      <alignment vertical="top"/>
    </xf>
    <xf numFmtId="0" fontId="0" fillId="0" borderId="5"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7"/>
  <sheetViews>
    <sheetView workbookViewId="0" topLeftCell="A34">
      <selection activeCell="E20" sqref="E20"/>
    </sheetView>
  </sheetViews>
  <sheetFormatPr defaultColWidth="9.140625" defaultRowHeight="12.75"/>
  <cols>
    <col min="1" max="1" width="27.421875" style="0" customWidth="1"/>
    <col min="2" max="2" width="22.421875" style="0" customWidth="1"/>
    <col min="3" max="16384" width="8.8515625" style="0" customWidth="1"/>
  </cols>
  <sheetData>
    <row r="1" spans="1:2" ht="12.75">
      <c r="A1" s="32" t="s">
        <v>91</v>
      </c>
      <c r="B1" s="9" t="s">
        <v>308</v>
      </c>
    </row>
    <row r="2" spans="1:2" ht="12.75">
      <c r="A2" s="32" t="s">
        <v>92</v>
      </c>
      <c r="B2" s="20">
        <v>38689</v>
      </c>
    </row>
    <row r="3" spans="1:3" ht="12.75">
      <c r="A3" s="32"/>
      <c r="B3" s="33" t="s">
        <v>309</v>
      </c>
      <c r="C3" s="34" t="s">
        <v>310</v>
      </c>
    </row>
    <row r="4" spans="1:3" ht="12.75">
      <c r="A4" s="32" t="s">
        <v>93</v>
      </c>
      <c r="B4" s="4">
        <v>13.1</v>
      </c>
      <c r="C4" s="4">
        <v>3.1</v>
      </c>
    </row>
    <row r="5" spans="1:3" ht="12.75">
      <c r="A5" s="32" t="s">
        <v>94</v>
      </c>
      <c r="B5" s="27">
        <v>0.2708333333333333</v>
      </c>
      <c r="C5" s="27">
        <v>0.2708333333333333</v>
      </c>
    </row>
    <row r="6" spans="1:3" ht="12.75">
      <c r="A6" s="32" t="s">
        <v>95</v>
      </c>
      <c r="B6" s="23">
        <v>0.3541666666666667</v>
      </c>
      <c r="C6" s="23">
        <v>0.3645833333333333</v>
      </c>
    </row>
    <row r="7" spans="1:3" ht="12.75">
      <c r="A7" s="32" t="s">
        <v>96</v>
      </c>
      <c r="B7">
        <f>IF(B4&gt;5,INT(B4/2),INT(B4/1.5))</f>
        <v>6</v>
      </c>
      <c r="C7">
        <f>IF(C4&gt;5,INT(C4/2),INT(C4/1.5))</f>
        <v>2</v>
      </c>
    </row>
    <row r="8" spans="1:3" ht="12.75">
      <c r="A8" s="32" t="s">
        <v>97</v>
      </c>
      <c r="B8">
        <v>8</v>
      </c>
      <c r="C8">
        <v>2</v>
      </c>
    </row>
    <row r="9" spans="1:3" ht="12.75">
      <c r="A9" s="32" t="s">
        <v>98</v>
      </c>
      <c r="B9">
        <v>14</v>
      </c>
      <c r="C9">
        <v>2</v>
      </c>
    </row>
    <row r="10" ht="12.75">
      <c r="A10" s="32"/>
    </row>
    <row r="11" spans="1:3" ht="12.75">
      <c r="A11" s="32" t="s">
        <v>216</v>
      </c>
      <c r="B11" s="31">
        <v>0.04861111111111111</v>
      </c>
      <c r="C11" s="31">
        <v>0.011458333333333334</v>
      </c>
    </row>
    <row r="12" spans="1:3" ht="12.75">
      <c r="A12" s="32" t="s">
        <v>218</v>
      </c>
      <c r="B12" s="31">
        <f>B11/B4</f>
        <v>0.003710771840542833</v>
      </c>
      <c r="C12" s="31">
        <f>C11/C4</f>
        <v>0.003696236559139785</v>
      </c>
    </row>
    <row r="13" spans="1:3" ht="12.75">
      <c r="A13" s="32" t="s">
        <v>217</v>
      </c>
      <c r="B13" s="31">
        <v>0.1486111111111111</v>
      </c>
      <c r="C13" s="31">
        <v>0.052083333333333336</v>
      </c>
    </row>
    <row r="14" spans="1:3" ht="12.75">
      <c r="A14" s="32" t="s">
        <v>218</v>
      </c>
      <c r="B14" s="31">
        <f>B13/B4</f>
        <v>0.011344359626802376</v>
      </c>
      <c r="C14" s="31">
        <f>C13/C4</f>
        <v>0.016801075268817203</v>
      </c>
    </row>
    <row r="15" ht="12.75">
      <c r="A15" s="32"/>
    </row>
    <row r="16" spans="1:3" s="1" customFormat="1" ht="12.75" customHeight="1">
      <c r="A16" s="32" t="s">
        <v>99</v>
      </c>
      <c r="B16" s="1">
        <v>700</v>
      </c>
      <c r="C16" s="1">
        <v>500</v>
      </c>
    </row>
    <row r="17" spans="1:3" s="1" customFormat="1" ht="12.75" customHeight="1">
      <c r="A17" s="32" t="s">
        <v>100</v>
      </c>
      <c r="B17" s="1">
        <v>30</v>
      </c>
      <c r="C17" s="1">
        <v>30</v>
      </c>
    </row>
    <row r="18" spans="1:3" ht="12.75" customHeight="1">
      <c r="A18" s="32" t="s">
        <v>101</v>
      </c>
      <c r="B18">
        <v>25</v>
      </c>
      <c r="C18">
        <v>25</v>
      </c>
    </row>
    <row r="19" spans="1:3" ht="12.75" customHeight="1">
      <c r="A19" s="32" t="s">
        <v>102</v>
      </c>
      <c r="B19" s="29">
        <v>0.9</v>
      </c>
      <c r="C19" s="29">
        <v>0.9</v>
      </c>
    </row>
    <row r="20" ht="12.75" customHeight="1">
      <c r="A20" s="32"/>
    </row>
    <row r="21" ht="12.75" customHeight="1">
      <c r="A21" s="32" t="s">
        <v>103</v>
      </c>
    </row>
    <row r="22" spans="1:3" ht="12.75">
      <c r="A22" s="32" t="s">
        <v>104</v>
      </c>
      <c r="B22">
        <f>B9+INT(B4)</f>
        <v>27</v>
      </c>
      <c r="C22">
        <f>C9+INT(C4)</f>
        <v>5</v>
      </c>
    </row>
    <row r="23" spans="1:3" ht="12.75">
      <c r="A23" s="32" t="s">
        <v>105</v>
      </c>
      <c r="B23">
        <f>INT(B16/60)+1</f>
        <v>12</v>
      </c>
      <c r="C23">
        <f>INT(C16/60)+1</f>
        <v>9</v>
      </c>
    </row>
    <row r="24" spans="1:3" ht="12.75">
      <c r="A24" s="32" t="s">
        <v>106</v>
      </c>
      <c r="B24">
        <f>B8*4</f>
        <v>32</v>
      </c>
      <c r="C24">
        <f>C8*4</f>
        <v>8</v>
      </c>
    </row>
    <row r="25" ht="12.75">
      <c r="A25" s="32"/>
    </row>
    <row r="26" spans="1:4" ht="12.75">
      <c r="A26" s="32" t="s">
        <v>107</v>
      </c>
      <c r="D26" s="4" t="s">
        <v>108</v>
      </c>
    </row>
    <row r="27" spans="1:4" ht="12.75">
      <c r="A27" s="32" t="s">
        <v>109</v>
      </c>
      <c r="B27">
        <f>(B16*(B8+1))*2</f>
        <v>12600</v>
      </c>
      <c r="C27">
        <f>(C16*(C8+1))*2</f>
        <v>3000</v>
      </c>
      <c r="D27">
        <f>C27+B27</f>
        <v>15600</v>
      </c>
    </row>
    <row r="28" spans="1:4" ht="12.75">
      <c r="A28" s="32" t="s">
        <v>110</v>
      </c>
      <c r="B28">
        <f>INT((B16*8)/128)+1</f>
        <v>44</v>
      </c>
      <c r="C28">
        <f>INT((C16*8)/128)+1</f>
        <v>32</v>
      </c>
      <c r="D28">
        <f>C28+B28</f>
        <v>76</v>
      </c>
    </row>
    <row r="29" spans="1:4" ht="12.75">
      <c r="A29" s="32" t="s">
        <v>111</v>
      </c>
      <c r="B29">
        <f>B28*2</f>
        <v>88</v>
      </c>
      <c r="C29">
        <f>C28*2</f>
        <v>64</v>
      </c>
      <c r="D29">
        <f>C29+B29</f>
        <v>152</v>
      </c>
    </row>
    <row r="30" ht="12.75">
      <c r="A30" s="32"/>
    </row>
    <row r="31" spans="1:3" ht="12.75">
      <c r="A31" s="32" t="s">
        <v>215</v>
      </c>
      <c r="B31">
        <f>INT(B16/40)</f>
        <v>17</v>
      </c>
      <c r="C31">
        <f>INT(C16/40)</f>
        <v>12</v>
      </c>
    </row>
    <row r="35" spans="1:2" ht="12.75">
      <c r="A35" s="32" t="s">
        <v>236</v>
      </c>
      <c r="B35" t="s">
        <v>311</v>
      </c>
    </row>
    <row r="36" ht="12.75">
      <c r="A36" s="32" t="s">
        <v>237</v>
      </c>
    </row>
    <row r="37" ht="12.75">
      <c r="A37" s="32" t="s">
        <v>238</v>
      </c>
    </row>
    <row r="38" ht="12.75">
      <c r="A38" s="32" t="s">
        <v>239</v>
      </c>
    </row>
    <row r="39" ht="12.75">
      <c r="A39" s="32" t="s">
        <v>240</v>
      </c>
    </row>
    <row r="40" ht="12.75">
      <c r="A40" s="32" t="s">
        <v>241</v>
      </c>
    </row>
    <row r="41" ht="12.75">
      <c r="A41" s="32" t="s">
        <v>242</v>
      </c>
    </row>
    <row r="42" spans="1:2" ht="12.75">
      <c r="A42" s="32" t="s">
        <v>243</v>
      </c>
      <c r="B42" t="s">
        <v>165</v>
      </c>
    </row>
    <row r="43" ht="12.75">
      <c r="A43" s="32" t="s">
        <v>245</v>
      </c>
    </row>
    <row r="44" ht="12.75">
      <c r="A44" s="32" t="s">
        <v>246</v>
      </c>
    </row>
    <row r="49" spans="1:5" ht="12.75">
      <c r="A49" s="54" t="s">
        <v>247</v>
      </c>
      <c r="B49" s="55" t="s">
        <v>248</v>
      </c>
      <c r="C49" s="56" t="s">
        <v>248</v>
      </c>
      <c r="D49" s="56" t="s">
        <v>249</v>
      </c>
      <c r="E49" s="56" t="s">
        <v>249</v>
      </c>
    </row>
    <row r="50" spans="1:5" ht="12.75">
      <c r="A50">
        <v>1</v>
      </c>
      <c r="B50" s="42">
        <f>B$6+($A50*B$12)</f>
        <v>0.35787743850720954</v>
      </c>
      <c r="C50" s="42">
        <f>C$6+($A50*C$12)</f>
        <v>0.3682795698924731</v>
      </c>
      <c r="D50" s="42">
        <f>B$6+($A50*B$14)</f>
        <v>0.36551102629346904</v>
      </c>
      <c r="E50" s="42">
        <f>C$6+($A50*C$14)</f>
        <v>0.3813844086021505</v>
      </c>
    </row>
    <row r="51" spans="1:5" ht="12.75">
      <c r="A51">
        <v>2</v>
      </c>
      <c r="B51" s="42">
        <f aca="true" t="shared" si="0" ref="B51:C67">B$6+($A51*B$12)</f>
        <v>0.36158821034775235</v>
      </c>
      <c r="C51" s="42">
        <f t="shared" si="0"/>
        <v>0.3719758064516129</v>
      </c>
      <c r="D51" s="42">
        <f aca="true" t="shared" si="1" ref="D51:D67">B$6+($A51*B$14)</f>
        <v>0.37685538592027146</v>
      </c>
      <c r="E51" s="42">
        <f aca="true" t="shared" si="2" ref="E51:E67">C$6+($A51*C$14)</f>
        <v>0.39818548387096775</v>
      </c>
    </row>
    <row r="52" spans="1:5" ht="12.75">
      <c r="A52">
        <v>3</v>
      </c>
      <c r="B52" s="42">
        <f t="shared" si="0"/>
        <v>0.3652989821882952</v>
      </c>
      <c r="C52" s="42">
        <f t="shared" si="0"/>
        <v>0.3756720430107527</v>
      </c>
      <c r="D52" s="42">
        <f t="shared" si="1"/>
        <v>0.3881997455470738</v>
      </c>
      <c r="E52" s="42">
        <f t="shared" si="2"/>
        <v>0.41498655913978494</v>
      </c>
    </row>
    <row r="53" spans="1:5" ht="12.75">
      <c r="A53">
        <v>4</v>
      </c>
      <c r="B53" s="42">
        <f t="shared" si="0"/>
        <v>0.369009754028838</v>
      </c>
      <c r="C53" s="42">
        <f t="shared" si="0"/>
        <v>0.37936827956989244</v>
      </c>
      <c r="D53" s="42">
        <f t="shared" si="1"/>
        <v>0.3995441051738762</v>
      </c>
      <c r="E53" s="42">
        <f t="shared" si="2"/>
        <v>0.43178763440860213</v>
      </c>
    </row>
    <row r="54" spans="1:5" ht="12.75">
      <c r="A54">
        <v>5</v>
      </c>
      <c r="B54" s="42">
        <f t="shared" si="0"/>
        <v>0.37272052586938087</v>
      </c>
      <c r="C54" s="42">
        <f t="shared" si="0"/>
        <v>0.38306451612903225</v>
      </c>
      <c r="D54" s="42">
        <f t="shared" si="1"/>
        <v>0.41088846480067853</v>
      </c>
      <c r="E54" s="42">
        <f t="shared" si="2"/>
        <v>0.4485887096774193</v>
      </c>
    </row>
    <row r="55" spans="1:5" ht="12.75">
      <c r="A55">
        <v>6</v>
      </c>
      <c r="B55" s="42">
        <f t="shared" si="0"/>
        <v>0.3764312977099237</v>
      </c>
      <c r="C55" s="42">
        <f t="shared" si="0"/>
        <v>0.386760752688172</v>
      </c>
      <c r="D55" s="42">
        <f t="shared" si="1"/>
        <v>0.42223282442748095</v>
      </c>
      <c r="E55" s="42">
        <f t="shared" si="2"/>
        <v>0.4653897849462365</v>
      </c>
    </row>
    <row r="56" spans="1:5" ht="12.75">
      <c r="A56">
        <v>7</v>
      </c>
      <c r="B56" s="42">
        <f t="shared" si="0"/>
        <v>0.38014206955046653</v>
      </c>
      <c r="C56" s="42">
        <f t="shared" si="0"/>
        <v>0.3904569892473118</v>
      </c>
      <c r="D56" s="42">
        <f t="shared" si="1"/>
        <v>0.4335771840542833</v>
      </c>
      <c r="E56" s="42">
        <f t="shared" si="2"/>
        <v>0.48219086021505375</v>
      </c>
    </row>
    <row r="57" spans="1:5" ht="12.75">
      <c r="A57">
        <v>8</v>
      </c>
      <c r="B57" s="42">
        <f t="shared" si="0"/>
        <v>0.38385284139100934</v>
      </c>
      <c r="C57" s="42">
        <f t="shared" si="0"/>
        <v>0.3941532258064516</v>
      </c>
      <c r="D57" s="42">
        <f t="shared" si="1"/>
        <v>0.4449215436810857</v>
      </c>
      <c r="E57" s="42">
        <f t="shared" si="2"/>
        <v>0.49899193548387094</v>
      </c>
    </row>
    <row r="58" spans="1:5" ht="12.75">
      <c r="A58">
        <v>9</v>
      </c>
      <c r="B58" s="42">
        <f t="shared" si="0"/>
        <v>0.3875636132315522</v>
      </c>
      <c r="C58" s="42">
        <f t="shared" si="0"/>
        <v>0.3978494623655914</v>
      </c>
      <c r="D58" s="42">
        <f t="shared" si="1"/>
        <v>0.4562659033078881</v>
      </c>
      <c r="E58" s="42">
        <f t="shared" si="2"/>
        <v>0.5157930107526881</v>
      </c>
    </row>
    <row r="59" spans="1:5" ht="12.75">
      <c r="A59">
        <v>10</v>
      </c>
      <c r="B59" s="42">
        <f t="shared" si="0"/>
        <v>0.391274385072095</v>
      </c>
      <c r="C59" s="42">
        <f t="shared" si="0"/>
        <v>0.4015456989247312</v>
      </c>
      <c r="D59" s="42">
        <f t="shared" si="1"/>
        <v>0.46761026293469043</v>
      </c>
      <c r="E59" s="42">
        <f t="shared" si="2"/>
        <v>0.5325940860215054</v>
      </c>
    </row>
    <row r="60" spans="1:5" ht="12.75">
      <c r="A60">
        <v>11</v>
      </c>
      <c r="B60" s="42">
        <f t="shared" si="0"/>
        <v>0.39498515691263786</v>
      </c>
      <c r="C60" s="42">
        <f t="shared" si="0"/>
        <v>0.40524193548387094</v>
      </c>
      <c r="D60" s="42">
        <f t="shared" si="1"/>
        <v>0.4789546225614928</v>
      </c>
      <c r="E60" s="42">
        <f t="shared" si="2"/>
        <v>0.5493951612903225</v>
      </c>
    </row>
    <row r="61" spans="1:5" ht="12.75">
      <c r="A61">
        <v>12</v>
      </c>
      <c r="B61" s="42">
        <f t="shared" si="0"/>
        <v>0.39869592875318066</v>
      </c>
      <c r="C61" s="42">
        <f t="shared" si="0"/>
        <v>0.40893817204301075</v>
      </c>
      <c r="D61" s="42">
        <f t="shared" si="1"/>
        <v>0.4902989821882952</v>
      </c>
      <c r="E61" s="42">
        <f t="shared" si="2"/>
        <v>0.5661962365591398</v>
      </c>
    </row>
    <row r="62" spans="1:5" ht="12.75">
      <c r="A62">
        <v>13</v>
      </c>
      <c r="B62" s="42">
        <f t="shared" si="0"/>
        <v>0.4024067005937235</v>
      </c>
      <c r="C62" s="42">
        <f t="shared" si="0"/>
        <v>0.4126344086021505</v>
      </c>
      <c r="D62" s="42">
        <f t="shared" si="1"/>
        <v>0.5016433418150976</v>
      </c>
      <c r="E62" s="42">
        <f t="shared" si="2"/>
        <v>0.582997311827957</v>
      </c>
    </row>
    <row r="63" spans="1:5" ht="12.75">
      <c r="A63">
        <v>14</v>
      </c>
      <c r="B63" s="42">
        <f t="shared" si="0"/>
        <v>0.4061174724342663</v>
      </c>
      <c r="C63" s="42">
        <f t="shared" si="0"/>
        <v>0.4163306451612903</v>
      </c>
      <c r="D63" s="42">
        <f t="shared" si="1"/>
        <v>0.5129877014419</v>
      </c>
      <c r="E63" s="42">
        <f t="shared" si="2"/>
        <v>0.5997983870967741</v>
      </c>
    </row>
    <row r="64" spans="1:5" ht="12.75">
      <c r="A64">
        <v>15</v>
      </c>
      <c r="B64" s="42">
        <f t="shared" si="0"/>
        <v>0.4098282442748092</v>
      </c>
      <c r="C64" s="42">
        <f t="shared" si="0"/>
        <v>0.4200268817204301</v>
      </c>
      <c r="D64" s="42">
        <f t="shared" si="1"/>
        <v>0.5243320610687023</v>
      </c>
      <c r="E64" s="42">
        <f t="shared" si="2"/>
        <v>0.6165994623655914</v>
      </c>
    </row>
    <row r="65" spans="1:5" ht="12.75">
      <c r="A65">
        <v>16</v>
      </c>
      <c r="B65" s="42">
        <f t="shared" si="0"/>
        <v>0.41353901611535204</v>
      </c>
      <c r="C65" s="42">
        <f t="shared" si="0"/>
        <v>0.4237231182795699</v>
      </c>
      <c r="D65" s="42">
        <f t="shared" si="1"/>
        <v>0.5356764206955047</v>
      </c>
      <c r="E65" s="42">
        <f t="shared" si="2"/>
        <v>0.6334005376344085</v>
      </c>
    </row>
    <row r="66" spans="1:5" ht="12.75">
      <c r="A66">
        <v>17</v>
      </c>
      <c r="B66" s="42">
        <f t="shared" si="0"/>
        <v>0.41724978795589485</v>
      </c>
      <c r="C66" s="42">
        <f t="shared" si="0"/>
        <v>0.42741935483870963</v>
      </c>
      <c r="D66" s="42">
        <f t="shared" si="1"/>
        <v>0.547020780322307</v>
      </c>
      <c r="E66" s="42">
        <f t="shared" si="2"/>
        <v>0.6502016129032258</v>
      </c>
    </row>
    <row r="67" spans="1:5" ht="12.75">
      <c r="A67">
        <v>18</v>
      </c>
      <c r="B67" s="42">
        <f t="shared" si="0"/>
        <v>0.42096055979643765</v>
      </c>
      <c r="C67" s="42">
        <f t="shared" si="0"/>
        <v>0.43111559139784944</v>
      </c>
      <c r="D67" s="42">
        <f t="shared" si="1"/>
        <v>0.5583651399491094</v>
      </c>
      <c r="E67" s="42">
        <f t="shared" si="2"/>
        <v>0.667002688172043</v>
      </c>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74"/>
  <sheetViews>
    <sheetView workbookViewId="0" topLeftCell="A1">
      <selection activeCell="H39" sqref="H39"/>
    </sheetView>
  </sheetViews>
  <sheetFormatPr defaultColWidth="9.140625" defaultRowHeight="12.75"/>
  <cols>
    <col min="1" max="2" width="4.00390625" style="0" customWidth="1"/>
    <col min="3" max="3" width="25.140625" style="0" customWidth="1"/>
    <col min="4" max="4" width="9.7109375" style="0" customWidth="1"/>
    <col min="5" max="5" width="7.8515625" style="0" customWidth="1"/>
    <col min="6" max="6" width="10.7109375" style="0" bestFit="1" customWidth="1"/>
    <col min="7" max="16384" width="8.8515625" style="0" customWidth="1"/>
  </cols>
  <sheetData>
    <row r="1" spans="1:6" ht="13.5" thickBot="1">
      <c r="A1" s="7" t="s">
        <v>112</v>
      </c>
      <c r="B1" s="13"/>
      <c r="C1" s="13"/>
      <c r="D1" s="13"/>
      <c r="E1" s="13"/>
      <c r="F1" s="13"/>
    </row>
    <row r="2" spans="4:6" ht="12.75">
      <c r="D2" s="10" t="s">
        <v>113</v>
      </c>
      <c r="E2" s="9" t="s">
        <v>114</v>
      </c>
      <c r="F2" s="10" t="s">
        <v>108</v>
      </c>
    </row>
    <row r="3" spans="2:6" ht="12.75">
      <c r="B3" s="21" t="s">
        <v>115</v>
      </c>
      <c r="C3" s="30"/>
      <c r="D3" s="10"/>
      <c r="E3" s="9"/>
      <c r="F3" s="10"/>
    </row>
    <row r="4" spans="3:6" ht="12.75">
      <c r="C4" t="s">
        <v>116</v>
      </c>
      <c r="D4" s="11">
        <v>0</v>
      </c>
      <c r="E4">
        <v>0</v>
      </c>
      <c r="F4" s="11">
        <f>D4*E4</f>
        <v>0</v>
      </c>
    </row>
    <row r="5" spans="3:6" ht="12.75">
      <c r="C5" t="s">
        <v>117</v>
      </c>
      <c r="D5" s="11">
        <v>0</v>
      </c>
      <c r="E5">
        <v>0</v>
      </c>
      <c r="F5" s="11">
        <f aca="true" t="shared" si="0" ref="F5:F36">D5*E5</f>
        <v>0</v>
      </c>
    </row>
    <row r="6" spans="3:6" ht="12.75">
      <c r="C6" t="s">
        <v>118</v>
      </c>
      <c r="D6" s="11">
        <v>0.3</v>
      </c>
      <c r="E6">
        <f>INT(((Info!B16)+99)/100)*100</f>
        <v>700</v>
      </c>
      <c r="F6" s="11">
        <f>D6*E6</f>
        <v>210</v>
      </c>
    </row>
    <row r="7" spans="3:6" ht="12.75">
      <c r="C7" t="s">
        <v>119</v>
      </c>
      <c r="D7" s="11">
        <v>0</v>
      </c>
      <c r="E7">
        <v>0</v>
      </c>
      <c r="F7" s="11">
        <f t="shared" si="0"/>
        <v>0</v>
      </c>
    </row>
    <row r="8" spans="3:6" ht="12.75">
      <c r="C8" t="s">
        <v>83</v>
      </c>
      <c r="D8" s="11">
        <v>0</v>
      </c>
      <c r="E8">
        <v>0</v>
      </c>
      <c r="F8" s="11">
        <f>D8*E8</f>
        <v>0</v>
      </c>
    </row>
    <row r="9" spans="3:6" ht="12.75">
      <c r="C9" t="s">
        <v>84</v>
      </c>
      <c r="D9" s="11">
        <v>0</v>
      </c>
      <c r="E9">
        <v>0</v>
      </c>
      <c r="F9" s="11">
        <f>D9*E9</f>
        <v>0</v>
      </c>
    </row>
    <row r="10" spans="4:6" ht="12.75">
      <c r="D10" s="11"/>
      <c r="F10" s="11"/>
    </row>
    <row r="11" spans="2:6" ht="12.75">
      <c r="B11" s="21" t="s">
        <v>120</v>
      </c>
      <c r="C11" s="30"/>
      <c r="D11" s="11"/>
      <c r="F11" s="11"/>
    </row>
    <row r="12" spans="3:6" ht="12.75">
      <c r="C12" t="s">
        <v>121</v>
      </c>
      <c r="D12" s="11">
        <v>1000</v>
      </c>
      <c r="E12">
        <v>0</v>
      </c>
      <c r="F12" s="11">
        <f t="shared" si="0"/>
        <v>0</v>
      </c>
    </row>
    <row r="13" spans="3:6" ht="12.75">
      <c r="C13" t="s">
        <v>122</v>
      </c>
      <c r="D13" s="11">
        <v>450</v>
      </c>
      <c r="E13">
        <v>0</v>
      </c>
      <c r="F13" s="11">
        <f t="shared" si="0"/>
        <v>0</v>
      </c>
    </row>
    <row r="14" spans="3:6" ht="12.75">
      <c r="C14" t="s">
        <v>123</v>
      </c>
      <c r="D14" s="11">
        <v>70</v>
      </c>
      <c r="E14">
        <v>0</v>
      </c>
      <c r="F14" s="11">
        <f t="shared" si="0"/>
        <v>0</v>
      </c>
    </row>
    <row r="15" spans="3:6" ht="12.75">
      <c r="C15" t="s">
        <v>124</v>
      </c>
      <c r="D15" s="11">
        <v>0</v>
      </c>
      <c r="E15">
        <v>0</v>
      </c>
      <c r="F15" s="11">
        <f t="shared" si="0"/>
        <v>0</v>
      </c>
    </row>
    <row r="16" spans="3:6" ht="12.75">
      <c r="C16" t="s">
        <v>125</v>
      </c>
      <c r="D16" s="11">
        <v>250</v>
      </c>
      <c r="E16">
        <v>1</v>
      </c>
      <c r="F16" s="11">
        <f>D16*E16</f>
        <v>250</v>
      </c>
    </row>
    <row r="17" spans="3:6" ht="12.75">
      <c r="C17" t="s">
        <v>126</v>
      </c>
      <c r="D17" s="11">
        <v>0</v>
      </c>
      <c r="E17">
        <v>0</v>
      </c>
      <c r="F17" s="11">
        <f t="shared" si="0"/>
        <v>0</v>
      </c>
    </row>
    <row r="18" spans="3:6" ht="12.75">
      <c r="C18" t="s">
        <v>127</v>
      </c>
      <c r="D18" s="11">
        <v>150</v>
      </c>
      <c r="E18">
        <v>0</v>
      </c>
      <c r="F18" s="11">
        <f>D18*E18</f>
        <v>0</v>
      </c>
    </row>
    <row r="19" spans="3:6" ht="12.75">
      <c r="C19" t="s">
        <v>88</v>
      </c>
      <c r="D19" s="11">
        <v>125</v>
      </c>
      <c r="E19">
        <v>1</v>
      </c>
      <c r="F19" s="11">
        <f>D19*E19</f>
        <v>125</v>
      </c>
    </row>
    <row r="20" spans="3:6" ht="12.75">
      <c r="C20" t="s">
        <v>89</v>
      </c>
      <c r="D20" s="11">
        <v>50</v>
      </c>
      <c r="E20">
        <v>1</v>
      </c>
      <c r="F20" s="11">
        <f>D20*E20</f>
        <v>50</v>
      </c>
    </row>
    <row r="21" spans="4:6" ht="12.75">
      <c r="D21" s="11"/>
      <c r="F21" s="11"/>
    </row>
    <row r="22" spans="2:6" ht="12.75">
      <c r="B22" s="30" t="s">
        <v>128</v>
      </c>
      <c r="C22" s="30"/>
      <c r="D22" s="11"/>
      <c r="F22" s="11"/>
    </row>
    <row r="23" spans="3:6" ht="12.75">
      <c r="C23" t="s">
        <v>129</v>
      </c>
      <c r="D23" s="11">
        <v>0</v>
      </c>
      <c r="E23">
        <v>0</v>
      </c>
      <c r="F23" s="11">
        <f t="shared" si="0"/>
        <v>0</v>
      </c>
    </row>
    <row r="24" spans="3:6" ht="12.75">
      <c r="C24" t="s">
        <v>130</v>
      </c>
      <c r="D24" s="11">
        <v>0</v>
      </c>
      <c r="E24">
        <v>0</v>
      </c>
      <c r="F24" s="11">
        <f t="shared" si="0"/>
        <v>0</v>
      </c>
    </row>
    <row r="25" spans="3:6" ht="12.75">
      <c r="C25" t="s">
        <v>131</v>
      </c>
      <c r="D25" s="11">
        <v>0</v>
      </c>
      <c r="E25">
        <v>0</v>
      </c>
      <c r="F25" s="11">
        <f t="shared" si="0"/>
        <v>0</v>
      </c>
    </row>
    <row r="26" spans="3:6" ht="12.75">
      <c r="C26" t="s">
        <v>132</v>
      </c>
      <c r="D26" s="11">
        <v>0</v>
      </c>
      <c r="E26">
        <v>0</v>
      </c>
      <c r="F26" s="11">
        <f t="shared" si="0"/>
        <v>0</v>
      </c>
    </row>
    <row r="27" spans="3:6" ht="12.75">
      <c r="C27" t="s">
        <v>133</v>
      </c>
      <c r="D27" s="11">
        <v>0</v>
      </c>
      <c r="E27">
        <v>0</v>
      </c>
      <c r="F27" s="11">
        <f t="shared" si="0"/>
        <v>0</v>
      </c>
    </row>
    <row r="28" spans="2:6" ht="12.75">
      <c r="B28" s="30" t="s">
        <v>76</v>
      </c>
      <c r="C28" s="30"/>
      <c r="D28" s="11"/>
      <c r="F28" s="11"/>
    </row>
    <row r="29" spans="3:6" ht="12.75">
      <c r="C29" t="s">
        <v>77</v>
      </c>
      <c r="D29" s="11">
        <v>150</v>
      </c>
      <c r="E29">
        <v>0</v>
      </c>
      <c r="F29" s="11">
        <f t="shared" si="0"/>
        <v>0</v>
      </c>
    </row>
    <row r="30" spans="3:6" ht="12.75">
      <c r="C30" t="s">
        <v>78</v>
      </c>
      <c r="D30" s="11">
        <v>50</v>
      </c>
      <c r="E30">
        <v>0</v>
      </c>
      <c r="F30" s="11">
        <f t="shared" si="0"/>
        <v>0</v>
      </c>
    </row>
    <row r="31" spans="3:6" ht="12.75">
      <c r="C31" t="s">
        <v>79</v>
      </c>
      <c r="D31" s="11">
        <v>25</v>
      </c>
      <c r="E31">
        <v>0</v>
      </c>
      <c r="F31" s="11">
        <f t="shared" si="0"/>
        <v>0</v>
      </c>
    </row>
    <row r="32" spans="3:6" ht="12.75">
      <c r="C32" s="19" t="s">
        <v>139</v>
      </c>
      <c r="D32" s="11">
        <v>75</v>
      </c>
      <c r="E32">
        <f>INT(((Info!B16+Info!C16))/((Info!B6-Info!B5)*(24*60)))+1</f>
        <v>10</v>
      </c>
      <c r="F32" s="11">
        <f>D32*E32</f>
        <v>750</v>
      </c>
    </row>
    <row r="33" spans="3:6" ht="12.75">
      <c r="C33" s="19"/>
      <c r="D33" s="11"/>
      <c r="F33" s="11"/>
    </row>
    <row r="34" spans="3:6" ht="12.75">
      <c r="C34" s="19"/>
      <c r="D34" s="11"/>
      <c r="F34" s="11"/>
    </row>
    <row r="35" spans="2:6" ht="12.75">
      <c r="B35" s="30" t="s">
        <v>80</v>
      </c>
      <c r="C35" s="30"/>
      <c r="D35" s="11"/>
      <c r="F35" s="11"/>
    </row>
    <row r="36" spans="3:6" ht="12.75">
      <c r="C36" t="s">
        <v>134</v>
      </c>
      <c r="D36" s="11">
        <v>5</v>
      </c>
      <c r="E36">
        <f>INT(((Info!B16+Info!C16+Info!B22)+11)/12)*12</f>
        <v>1236</v>
      </c>
      <c r="F36" s="11">
        <f t="shared" si="0"/>
        <v>6180</v>
      </c>
    </row>
    <row r="37" spans="3:6" ht="12.75">
      <c r="C37" s="4" t="s">
        <v>135</v>
      </c>
      <c r="D37" s="11"/>
      <c r="E37">
        <f>INT(((E36*0.43)+11)/12)*12</f>
        <v>540</v>
      </c>
      <c r="F37" s="11"/>
    </row>
    <row r="38" spans="3:6" ht="12.75">
      <c r="C38" s="4" t="s">
        <v>136</v>
      </c>
      <c r="D38" s="11"/>
      <c r="E38">
        <f>INT(((E36*0.43)+11)/12)*12</f>
        <v>540</v>
      </c>
      <c r="F38" s="11"/>
    </row>
    <row r="39" spans="3:6" ht="12.75">
      <c r="C39" s="4" t="s">
        <v>137</v>
      </c>
      <c r="D39" s="11"/>
      <c r="E39">
        <f>INT(((E36*0.13)+11)/12)*12</f>
        <v>168</v>
      </c>
      <c r="F39" s="11"/>
    </row>
    <row r="40" spans="3:6" ht="12.75">
      <c r="C40" s="4" t="s">
        <v>138</v>
      </c>
      <c r="D40" s="11"/>
      <c r="E40">
        <f>INT(((E36*0.01)+11)/12)*12</f>
        <v>12</v>
      </c>
      <c r="F40" s="11"/>
    </row>
    <row r="41" spans="3:6" ht="12.75">
      <c r="C41" s="19" t="s">
        <v>81</v>
      </c>
      <c r="D41" s="11">
        <v>0</v>
      </c>
      <c r="E41" s="28">
        <f>Info!B16</f>
        <v>700</v>
      </c>
      <c r="F41" s="11">
        <f>D41*E41</f>
        <v>0</v>
      </c>
    </row>
    <row r="42" spans="3:6" ht="12.75">
      <c r="C42" t="s">
        <v>85</v>
      </c>
      <c r="D42" s="11">
        <v>1</v>
      </c>
      <c r="E42">
        <f>E36</f>
        <v>1236</v>
      </c>
      <c r="F42" s="11">
        <f>D42*E42</f>
        <v>1236</v>
      </c>
    </row>
    <row r="43" spans="3:6" ht="12.75">
      <c r="C43" s="4"/>
      <c r="D43" s="11"/>
      <c r="F43" s="11"/>
    </row>
    <row r="45" spans="2:6" ht="12.75">
      <c r="B45" s="30" t="s">
        <v>140</v>
      </c>
      <c r="C45" s="30"/>
      <c r="D45" s="11"/>
      <c r="F45" s="11"/>
    </row>
    <row r="46" spans="3:6" ht="12.75">
      <c r="C46" t="s">
        <v>82</v>
      </c>
      <c r="D46" s="11"/>
      <c r="F46" s="11">
        <f aca="true" t="shared" si="1" ref="F46:F57">D46*E46</f>
        <v>0</v>
      </c>
    </row>
    <row r="47" spans="3:6" ht="10.5" customHeight="1">
      <c r="C47" t="s">
        <v>141</v>
      </c>
      <c r="D47" s="11"/>
      <c r="F47" s="11">
        <f t="shared" si="1"/>
        <v>0</v>
      </c>
    </row>
    <row r="48" spans="3:6" ht="12.75">
      <c r="C48" t="s">
        <v>142</v>
      </c>
      <c r="D48" s="11"/>
      <c r="F48" s="11">
        <f t="shared" si="1"/>
        <v>0</v>
      </c>
    </row>
    <row r="49" spans="3:6" ht="12.75">
      <c r="C49" t="s">
        <v>143</v>
      </c>
      <c r="D49" s="11"/>
      <c r="F49" s="11">
        <f t="shared" si="1"/>
        <v>0</v>
      </c>
    </row>
    <row r="50" spans="3:6" ht="12.75">
      <c r="C50" t="s">
        <v>86</v>
      </c>
      <c r="D50" s="11">
        <v>30</v>
      </c>
      <c r="E50">
        <v>2</v>
      </c>
      <c r="F50" s="11">
        <f t="shared" si="1"/>
        <v>60</v>
      </c>
    </row>
    <row r="51" spans="3:6" ht="12.75">
      <c r="C51" t="s">
        <v>87</v>
      </c>
      <c r="D51" s="11"/>
      <c r="F51" s="11">
        <v>0</v>
      </c>
    </row>
    <row r="52" spans="3:6" ht="12.75">
      <c r="C52" t="s">
        <v>90</v>
      </c>
      <c r="D52" s="11"/>
      <c r="F52" s="11">
        <v>0</v>
      </c>
    </row>
    <row r="53" spans="4:6" ht="12.75">
      <c r="D53" s="11"/>
      <c r="F53" s="11"/>
    </row>
    <row r="54" spans="2:6" ht="12.75" customHeight="1">
      <c r="B54" s="21" t="s">
        <v>144</v>
      </c>
      <c r="C54" s="30"/>
      <c r="D54" s="11"/>
      <c r="F54" s="11"/>
    </row>
    <row r="55" spans="3:6" ht="12.75">
      <c r="C55" t="s">
        <v>145</v>
      </c>
      <c r="D55" s="11"/>
      <c r="F55" s="11">
        <f t="shared" si="1"/>
        <v>0</v>
      </c>
    </row>
    <row r="56" spans="3:6" ht="12.75">
      <c r="C56" t="s">
        <v>146</v>
      </c>
      <c r="D56" s="11"/>
      <c r="F56" s="11">
        <f t="shared" si="1"/>
        <v>0</v>
      </c>
    </row>
    <row r="57" spans="3:6" ht="12.75">
      <c r="C57" t="s">
        <v>147</v>
      </c>
      <c r="D57" s="11"/>
      <c r="F57" s="11">
        <f t="shared" si="1"/>
        <v>0</v>
      </c>
    </row>
    <row r="58" spans="1:6" ht="13.5" thickBot="1">
      <c r="A58" s="5"/>
      <c r="B58" s="5"/>
      <c r="C58" s="5" t="s">
        <v>148</v>
      </c>
      <c r="D58" s="12"/>
      <c r="E58" s="6"/>
      <c r="F58" s="12">
        <f>SUM(F4:F57)</f>
        <v>8861</v>
      </c>
    </row>
    <row r="59" spans="4:6" ht="13.5" thickTop="1">
      <c r="D59" s="11"/>
      <c r="F59" s="11"/>
    </row>
    <row r="60" spans="1:6" ht="13.5" thickBot="1">
      <c r="A60" s="8" t="s">
        <v>149</v>
      </c>
      <c r="B60" s="13"/>
      <c r="C60" s="13"/>
      <c r="D60" s="14"/>
      <c r="E60" s="13"/>
      <c r="F60" s="14"/>
    </row>
    <row r="61" spans="1:6" ht="12.75">
      <c r="A61" s="16"/>
      <c r="B61" s="16" t="s">
        <v>150</v>
      </c>
      <c r="C61" s="17"/>
      <c r="D61" s="18"/>
      <c r="E61" s="17"/>
      <c r="F61" s="18"/>
    </row>
    <row r="62" spans="3:6" ht="12.75">
      <c r="C62" t="s">
        <v>151</v>
      </c>
      <c r="D62" s="11">
        <f>Info!B17</f>
        <v>30</v>
      </c>
      <c r="E62">
        <f>Info!B16-E63</f>
        <v>70</v>
      </c>
      <c r="F62" s="11">
        <f>D62*E62</f>
        <v>2100</v>
      </c>
    </row>
    <row r="63" spans="3:6" ht="12.75">
      <c r="C63" t="s">
        <v>152</v>
      </c>
      <c r="D63" s="11">
        <f>Info!B18</f>
        <v>25</v>
      </c>
      <c r="E63">
        <f>INT(Info!B16*Info!B19)</f>
        <v>630</v>
      </c>
      <c r="F63" s="11">
        <f>D63*E63</f>
        <v>15750</v>
      </c>
    </row>
    <row r="64" spans="3:6" ht="12.75">
      <c r="C64" t="s">
        <v>153</v>
      </c>
      <c r="D64" s="11">
        <f>Info!C17</f>
        <v>30</v>
      </c>
      <c r="E64">
        <f>Info!C16-E65</f>
        <v>50</v>
      </c>
      <c r="F64" s="11">
        <f>D64*E64</f>
        <v>1500</v>
      </c>
    </row>
    <row r="65" spans="4:6" ht="12.75">
      <c r="D65" s="11">
        <f>Info!C18</f>
        <v>25</v>
      </c>
      <c r="E65">
        <f>INT(Info!C16*Info!C19)</f>
        <v>450</v>
      </c>
      <c r="F65" s="11">
        <f>D65*E65</f>
        <v>11250</v>
      </c>
    </row>
    <row r="66" spans="4:6" ht="12.75">
      <c r="D66" s="11"/>
      <c r="F66" s="11"/>
    </row>
    <row r="67" spans="2:6" ht="12.75">
      <c r="B67" s="15" t="s">
        <v>154</v>
      </c>
      <c r="D67" s="11"/>
      <c r="F67" s="11"/>
    </row>
    <row r="68" spans="3:6" ht="12.75">
      <c r="C68" t="s">
        <v>155</v>
      </c>
      <c r="D68" s="11"/>
      <c r="F68" s="11"/>
    </row>
    <row r="69" spans="3:6" ht="12.75">
      <c r="C69" t="s">
        <v>156</v>
      </c>
      <c r="D69" s="11"/>
      <c r="F69" s="11"/>
    </row>
    <row r="70" spans="3:6" ht="12.75">
      <c r="C70" t="s">
        <v>157</v>
      </c>
      <c r="D70" s="11"/>
      <c r="F70" s="11"/>
    </row>
    <row r="71" spans="4:6" ht="12.75">
      <c r="D71" s="11"/>
      <c r="F71" s="11"/>
    </row>
    <row r="72" spans="1:6" ht="13.5" thickBot="1">
      <c r="A72" s="5"/>
      <c r="B72" s="5"/>
      <c r="C72" s="5" t="s">
        <v>158</v>
      </c>
      <c r="D72" s="12"/>
      <c r="E72" s="6"/>
      <c r="F72" s="12">
        <f>SUM(F62:F71)</f>
        <v>30600</v>
      </c>
    </row>
    <row r="73" spans="4:6" ht="13.5" thickTop="1">
      <c r="D73" s="11"/>
      <c r="F73" s="11"/>
    </row>
    <row r="74" spans="3:6" ht="12.75">
      <c r="C74" t="s">
        <v>159</v>
      </c>
      <c r="D74" s="11"/>
      <c r="F74" s="11">
        <f>F72-F58</f>
        <v>21739</v>
      </c>
    </row>
  </sheetData>
  <printOptions gridLines="1"/>
  <pageMargins left="0.75" right="0.75" top="1" bottom="1" header="0.5" footer="0.5"/>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86"/>
  <sheetViews>
    <sheetView tabSelected="1" workbookViewId="0" topLeftCell="A1">
      <selection activeCell="C62" sqref="C62"/>
    </sheetView>
  </sheetViews>
  <sheetFormatPr defaultColWidth="9.140625" defaultRowHeight="12.75"/>
  <cols>
    <col min="1" max="1" width="6.00390625" style="0" customWidth="1"/>
    <col min="2" max="2" width="71.28125" style="0" customWidth="1"/>
    <col min="3" max="3" width="20.00390625" style="0" customWidth="1"/>
    <col min="4" max="16384" width="8.8515625" style="0" customWidth="1"/>
  </cols>
  <sheetData>
    <row r="1" spans="1:3" ht="15.75">
      <c r="A1" s="51" t="s">
        <v>312</v>
      </c>
      <c r="B1" s="57"/>
      <c r="C1" s="51" t="s">
        <v>313</v>
      </c>
    </row>
    <row r="2" spans="1:3" ht="38.25">
      <c r="A2" s="53"/>
      <c r="B2" s="58" t="s">
        <v>318</v>
      </c>
      <c r="C2" s="59" t="s">
        <v>314</v>
      </c>
    </row>
    <row r="3" spans="1:3" ht="38.25">
      <c r="A3" s="53"/>
      <c r="B3" s="60" t="s">
        <v>319</v>
      </c>
      <c r="C3" s="61" t="s">
        <v>315</v>
      </c>
    </row>
    <row r="4" spans="1:3" ht="15.75">
      <c r="A4" s="53"/>
      <c r="B4" s="60"/>
      <c r="C4" s="61"/>
    </row>
    <row r="5" spans="1:3" ht="15.75">
      <c r="A5" s="51" t="s">
        <v>323</v>
      </c>
      <c r="B5" s="57"/>
      <c r="C5" s="51" t="s">
        <v>313</v>
      </c>
    </row>
    <row r="6" spans="1:3" ht="25.5">
      <c r="A6" s="53"/>
      <c r="B6" s="60" t="s">
        <v>324</v>
      </c>
      <c r="C6" s="61" t="s">
        <v>333</v>
      </c>
    </row>
    <row r="7" spans="2:3" ht="25.5">
      <c r="B7" s="60" t="s">
        <v>328</v>
      </c>
      <c r="C7" s="61" t="s">
        <v>327</v>
      </c>
    </row>
    <row r="8" spans="2:3" ht="25.5">
      <c r="B8" s="70" t="s">
        <v>334</v>
      </c>
      <c r="C8" s="66" t="s">
        <v>326</v>
      </c>
    </row>
    <row r="9" spans="2:3" ht="25.5">
      <c r="B9" s="70" t="s">
        <v>329</v>
      </c>
      <c r="C9" s="61" t="s">
        <v>333</v>
      </c>
    </row>
    <row r="10" spans="2:3" ht="12.75">
      <c r="B10" s="70"/>
      <c r="C10" s="66"/>
    </row>
    <row r="11" ht="12.75">
      <c r="C11" s="39"/>
    </row>
    <row r="12" spans="1:3" ht="15.75">
      <c r="A12" s="51" t="s">
        <v>305</v>
      </c>
      <c r="B12" s="30"/>
      <c r="C12" s="51" t="s">
        <v>313</v>
      </c>
    </row>
    <row r="13" spans="2:3" ht="42.75" customHeight="1">
      <c r="B13" s="68" t="s">
        <v>293</v>
      </c>
      <c r="C13" s="67" t="s">
        <v>317</v>
      </c>
    </row>
    <row r="14" spans="2:3" ht="42.75" customHeight="1">
      <c r="B14" s="69" t="s">
        <v>306</v>
      </c>
      <c r="C14" s="67" t="s">
        <v>317</v>
      </c>
    </row>
    <row r="15" spans="2:3" ht="12.75">
      <c r="B15" s="69"/>
      <c r="C15" s="67"/>
    </row>
    <row r="16" ht="12.75">
      <c r="C16" s="67"/>
    </row>
    <row r="17" spans="1:3" ht="15.75">
      <c r="A17" s="51" t="s">
        <v>288</v>
      </c>
      <c r="B17" s="49"/>
      <c r="C17" s="51" t="s">
        <v>313</v>
      </c>
    </row>
    <row r="18" spans="2:3" ht="25.5">
      <c r="B18" s="71" t="s">
        <v>289</v>
      </c>
      <c r="C18" s="67" t="s">
        <v>331</v>
      </c>
    </row>
    <row r="19" spans="2:3" ht="12.75">
      <c r="B19" s="72" t="s">
        <v>290</v>
      </c>
      <c r="C19" s="67" t="s">
        <v>325</v>
      </c>
    </row>
    <row r="20" spans="2:3" ht="25.5">
      <c r="B20" s="72" t="s">
        <v>332</v>
      </c>
      <c r="C20" s="67" t="s">
        <v>331</v>
      </c>
    </row>
    <row r="21" spans="2:3" ht="12.75">
      <c r="B21" s="72" t="s">
        <v>291</v>
      </c>
      <c r="C21" s="67" t="s">
        <v>325</v>
      </c>
    </row>
    <row r="22" spans="2:3" ht="12.75">
      <c r="B22" s="69" t="s">
        <v>292</v>
      </c>
      <c r="C22" s="67" t="s">
        <v>325</v>
      </c>
    </row>
    <row r="23" spans="2:3" ht="12" customHeight="1">
      <c r="B23" s="69" t="s">
        <v>294</v>
      </c>
      <c r="C23" s="67" t="s">
        <v>325</v>
      </c>
    </row>
    <row r="24" spans="2:3" ht="12" customHeight="1">
      <c r="B24" s="69" t="s">
        <v>295</v>
      </c>
      <c r="C24" s="67" t="s">
        <v>325</v>
      </c>
    </row>
    <row r="25" spans="2:3" ht="12" customHeight="1">
      <c r="B25" s="69" t="s">
        <v>335</v>
      </c>
      <c r="C25" s="67" t="s">
        <v>325</v>
      </c>
    </row>
    <row r="26" ht="12" customHeight="1">
      <c r="B26" s="43"/>
    </row>
    <row r="27" ht="12.75">
      <c r="B27" s="43"/>
    </row>
    <row r="28" spans="1:3" ht="15.75">
      <c r="A28" s="51" t="s">
        <v>269</v>
      </c>
      <c r="B28" s="49"/>
      <c r="C28" s="51" t="s">
        <v>313</v>
      </c>
    </row>
    <row r="29" spans="2:3" ht="25.5">
      <c r="B29" s="45" t="s">
        <v>278</v>
      </c>
      <c r="C29" s="67" t="s">
        <v>336</v>
      </c>
    </row>
    <row r="30" spans="2:3" ht="25.5">
      <c r="B30" s="43" t="s">
        <v>270</v>
      </c>
      <c r="C30" s="67" t="s">
        <v>336</v>
      </c>
    </row>
    <row r="31" spans="2:3" ht="38.25">
      <c r="B31" s="43" t="s">
        <v>279</v>
      </c>
      <c r="C31" s="67" t="s">
        <v>336</v>
      </c>
    </row>
    <row r="32" spans="2:3" ht="25.5">
      <c r="B32" s="43" t="s">
        <v>271</v>
      </c>
      <c r="C32" s="67"/>
    </row>
    <row r="33" spans="2:3" ht="38.25">
      <c r="B33" s="47" t="s">
        <v>296</v>
      </c>
      <c r="C33" s="67" t="s">
        <v>336</v>
      </c>
    </row>
    <row r="34" ht="12.75">
      <c r="B34" s="47"/>
    </row>
    <row r="35" spans="1:3" ht="15.75">
      <c r="A35" s="51" t="s">
        <v>303</v>
      </c>
      <c r="B35" s="49"/>
      <c r="C35" s="51" t="s">
        <v>313</v>
      </c>
    </row>
    <row r="36" spans="1:2" ht="15.75">
      <c r="A36" s="53"/>
      <c r="B36" s="44" t="s">
        <v>304</v>
      </c>
    </row>
    <row r="37" ht="12.75">
      <c r="B37" s="44" t="s">
        <v>300</v>
      </c>
    </row>
    <row r="38" ht="25.5">
      <c r="B38" s="47" t="s">
        <v>301</v>
      </c>
    </row>
    <row r="39" ht="25.5">
      <c r="B39" s="47" t="s">
        <v>320</v>
      </c>
    </row>
    <row r="40" ht="12.75">
      <c r="B40" s="47"/>
    </row>
    <row r="41" spans="1:3" ht="15.75">
      <c r="A41" s="51" t="s">
        <v>307</v>
      </c>
      <c r="B41" s="49"/>
      <c r="C41" s="51" t="s">
        <v>313</v>
      </c>
    </row>
    <row r="42" spans="1:3" ht="26.25">
      <c r="A42" s="52"/>
      <c r="B42" s="44" t="s">
        <v>302</v>
      </c>
      <c r="C42" t="s">
        <v>330</v>
      </c>
    </row>
    <row r="43" spans="1:2" ht="15">
      <c r="A43" s="52"/>
      <c r="B43" s="44"/>
    </row>
    <row r="44" spans="1:3" ht="15.75">
      <c r="A44" s="62" t="s">
        <v>316</v>
      </c>
      <c r="B44" s="63"/>
      <c r="C44" s="51" t="s">
        <v>313</v>
      </c>
    </row>
    <row r="45" spans="1:3" ht="25.5">
      <c r="A45" s="64"/>
      <c r="B45" s="65" t="s">
        <v>321</v>
      </c>
      <c r="C45" s="66" t="s">
        <v>322</v>
      </c>
    </row>
    <row r="46" spans="1:2" ht="15">
      <c r="A46" s="52"/>
      <c r="B46" s="44"/>
    </row>
    <row r="47" spans="1:3" ht="15.75">
      <c r="A47" s="51" t="s">
        <v>268</v>
      </c>
      <c r="B47" s="49"/>
      <c r="C47" s="51" t="s">
        <v>313</v>
      </c>
    </row>
    <row r="48" spans="1:2" ht="12.75">
      <c r="A48" s="32"/>
      <c r="B48" s="50" t="s">
        <v>272</v>
      </c>
    </row>
    <row r="49" spans="2:3" ht="25.5">
      <c r="B49" s="45" t="s">
        <v>257</v>
      </c>
      <c r="C49" s="67" t="s">
        <v>336</v>
      </c>
    </row>
    <row r="50" spans="2:3" ht="25.5">
      <c r="B50" s="43" t="s">
        <v>273</v>
      </c>
      <c r="C50" s="67" t="s">
        <v>336</v>
      </c>
    </row>
    <row r="51" spans="2:3" ht="25.5">
      <c r="B51" s="43" t="s">
        <v>263</v>
      </c>
      <c r="C51" s="67" t="s">
        <v>336</v>
      </c>
    </row>
    <row r="52" spans="2:3" ht="25.5">
      <c r="B52" s="43" t="s">
        <v>264</v>
      </c>
      <c r="C52" s="67" t="s">
        <v>336</v>
      </c>
    </row>
    <row r="53" spans="2:3" ht="25.5">
      <c r="B53" s="43" t="s">
        <v>297</v>
      </c>
      <c r="C53" s="67" t="s">
        <v>336</v>
      </c>
    </row>
    <row r="54" spans="2:3" ht="25.5">
      <c r="B54" s="43" t="s">
        <v>253</v>
      </c>
      <c r="C54" s="67" t="s">
        <v>336</v>
      </c>
    </row>
    <row r="55" spans="2:3" ht="25.5">
      <c r="B55" s="43" t="s">
        <v>299</v>
      </c>
      <c r="C55" s="67" t="s">
        <v>336</v>
      </c>
    </row>
    <row r="56" spans="2:3" ht="25.5">
      <c r="B56" s="43" t="s">
        <v>283</v>
      </c>
      <c r="C56" s="67" t="s">
        <v>336</v>
      </c>
    </row>
    <row r="57" spans="2:3" ht="25.5">
      <c r="B57" s="43" t="s">
        <v>284</v>
      </c>
      <c r="C57" s="67" t="s">
        <v>336</v>
      </c>
    </row>
    <row r="58" spans="2:3" ht="25.5">
      <c r="B58" s="43" t="s">
        <v>277</v>
      </c>
      <c r="C58" s="67" t="s">
        <v>336</v>
      </c>
    </row>
    <row r="59" spans="2:3" ht="25.5">
      <c r="B59" s="43" t="s">
        <v>280</v>
      </c>
      <c r="C59" s="67" t="s">
        <v>336</v>
      </c>
    </row>
    <row r="60" spans="2:3" ht="25.5">
      <c r="B60" s="43" t="s">
        <v>267</v>
      </c>
      <c r="C60" s="67" t="s">
        <v>336</v>
      </c>
    </row>
    <row r="61" ht="12.75">
      <c r="B61" s="47"/>
    </row>
    <row r="62" spans="2:3" ht="12.75">
      <c r="B62" s="46" t="s">
        <v>281</v>
      </c>
      <c r="C62" s="54" t="s">
        <v>313</v>
      </c>
    </row>
    <row r="63" spans="2:3" ht="25.5">
      <c r="B63" s="43" t="s">
        <v>254</v>
      </c>
      <c r="C63" s="67" t="s">
        <v>336</v>
      </c>
    </row>
    <row r="64" spans="2:3" ht="25.5">
      <c r="B64" s="43" t="s">
        <v>255</v>
      </c>
      <c r="C64" s="67" t="s">
        <v>336</v>
      </c>
    </row>
    <row r="65" spans="2:3" ht="25.5">
      <c r="B65" s="43" t="s">
        <v>132</v>
      </c>
      <c r="C65" s="67" t="s">
        <v>336</v>
      </c>
    </row>
    <row r="66" spans="2:3" ht="25.5">
      <c r="B66" s="43" t="s">
        <v>256</v>
      </c>
      <c r="C66" s="67" t="s">
        <v>336</v>
      </c>
    </row>
    <row r="67" spans="2:3" ht="25.5">
      <c r="B67" s="43" t="s">
        <v>282</v>
      </c>
      <c r="C67" s="67" t="s">
        <v>336</v>
      </c>
    </row>
    <row r="68" spans="2:3" ht="25.5">
      <c r="B68" s="43" t="s">
        <v>298</v>
      </c>
      <c r="C68" s="67" t="s">
        <v>336</v>
      </c>
    </row>
    <row r="69" spans="2:3" ht="25.5">
      <c r="B69" s="43" t="s">
        <v>261</v>
      </c>
      <c r="C69" s="67" t="s">
        <v>336</v>
      </c>
    </row>
    <row r="70" spans="2:3" ht="25.5">
      <c r="B70" s="43" t="s">
        <v>262</v>
      </c>
      <c r="C70" s="67" t="s">
        <v>336</v>
      </c>
    </row>
    <row r="71" spans="2:3" ht="25.5">
      <c r="B71" s="43" t="s">
        <v>259</v>
      </c>
      <c r="C71" s="67" t="s">
        <v>336</v>
      </c>
    </row>
    <row r="72" spans="2:3" ht="25.5">
      <c r="B72" s="43" t="s">
        <v>260</v>
      </c>
      <c r="C72" s="67" t="s">
        <v>336</v>
      </c>
    </row>
    <row r="73" spans="2:3" ht="25.5">
      <c r="B73" s="43" t="s">
        <v>78</v>
      </c>
      <c r="C73" s="67" t="s">
        <v>336</v>
      </c>
    </row>
    <row r="74" spans="2:3" ht="25.5">
      <c r="B74" t="s">
        <v>285</v>
      </c>
      <c r="C74" s="67" t="s">
        <v>336</v>
      </c>
    </row>
    <row r="75" spans="2:3" ht="25.5">
      <c r="B75" s="48" t="s">
        <v>286</v>
      </c>
      <c r="C75" s="67" t="s">
        <v>336</v>
      </c>
    </row>
    <row r="76" spans="2:3" ht="25.5">
      <c r="B76" s="43" t="s">
        <v>266</v>
      </c>
      <c r="C76" s="67" t="s">
        <v>336</v>
      </c>
    </row>
    <row r="77" ht="12.75">
      <c r="B77" s="47"/>
    </row>
    <row r="78" spans="2:3" ht="12.75">
      <c r="B78" s="46" t="s">
        <v>274</v>
      </c>
      <c r="C78" s="54" t="s">
        <v>313</v>
      </c>
    </row>
    <row r="79" spans="2:3" ht="25.5">
      <c r="B79" s="45" t="s">
        <v>250</v>
      </c>
      <c r="C79" s="67" t="s">
        <v>336</v>
      </c>
    </row>
    <row r="80" spans="2:3" ht="25.5">
      <c r="B80" s="43" t="s">
        <v>251</v>
      </c>
      <c r="C80" s="67" t="s">
        <v>336</v>
      </c>
    </row>
    <row r="81" spans="2:3" ht="25.5">
      <c r="B81" s="43" t="s">
        <v>258</v>
      </c>
      <c r="C81" s="67" t="s">
        <v>336</v>
      </c>
    </row>
    <row r="82" spans="2:3" ht="25.5">
      <c r="B82" t="s">
        <v>275</v>
      </c>
      <c r="C82" s="67" t="s">
        <v>336</v>
      </c>
    </row>
    <row r="83" spans="2:3" ht="25.5">
      <c r="B83" s="43" t="s">
        <v>276</v>
      </c>
      <c r="C83" s="67" t="s">
        <v>336</v>
      </c>
    </row>
    <row r="84" spans="2:3" ht="25.5">
      <c r="B84" s="43" t="s">
        <v>265</v>
      </c>
      <c r="C84" s="67" t="s">
        <v>336</v>
      </c>
    </row>
    <row r="85" spans="2:3" ht="25.5">
      <c r="B85" s="45" t="s">
        <v>252</v>
      </c>
      <c r="C85" s="67" t="s">
        <v>336</v>
      </c>
    </row>
    <row r="86" spans="2:3" ht="25.5">
      <c r="B86" s="48" t="s">
        <v>287</v>
      </c>
      <c r="C86" s="67" t="s">
        <v>336</v>
      </c>
    </row>
  </sheetData>
  <printOptions gridLines="1" horizontalCentered="1"/>
  <pageMargins left="0.5" right="0.5" top="0.5" bottom="0.5"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107"/>
  <sheetViews>
    <sheetView workbookViewId="0" topLeftCell="A11">
      <selection activeCell="A29" sqref="A29"/>
    </sheetView>
  </sheetViews>
  <sheetFormatPr defaultColWidth="9.140625" defaultRowHeight="12.75"/>
  <cols>
    <col min="1" max="1" width="53.8515625" style="0" customWidth="1"/>
    <col min="2" max="2" width="52.8515625" style="0" customWidth="1"/>
    <col min="3" max="3" width="10.421875" style="9" customWidth="1"/>
    <col min="4" max="4" width="9.57421875" style="9" customWidth="1"/>
    <col min="5" max="5" width="20.7109375" style="0" customWidth="1"/>
    <col min="6" max="16384" width="8.8515625" style="0" customWidth="1"/>
  </cols>
  <sheetData>
    <row r="2" spans="1:5" ht="12.75">
      <c r="A2" s="21" t="s">
        <v>160</v>
      </c>
      <c r="B2" s="21" t="s">
        <v>219</v>
      </c>
      <c r="C2" s="22" t="s">
        <v>161</v>
      </c>
      <c r="D2" s="22" t="s">
        <v>162</v>
      </c>
      <c r="E2" s="21" t="s">
        <v>163</v>
      </c>
    </row>
    <row r="3" spans="1:5" ht="12.75">
      <c r="A3" s="36" t="s">
        <v>164</v>
      </c>
      <c r="B3" s="24"/>
      <c r="C3" s="20">
        <f>Info!$B$2-180</f>
        <v>38509</v>
      </c>
      <c r="E3" t="s">
        <v>165</v>
      </c>
    </row>
    <row r="4" spans="1:5" ht="12.75">
      <c r="A4" s="36" t="s">
        <v>166</v>
      </c>
      <c r="B4" s="24"/>
      <c r="C4" s="20">
        <f>DATE(YEAR(Info!$B$2-120),MONTH(Info!$B$2-120),1)</f>
        <v>38565</v>
      </c>
      <c r="E4" t="s">
        <v>165</v>
      </c>
    </row>
    <row r="5" spans="1:5" ht="12.75">
      <c r="A5" s="36" t="s">
        <v>167</v>
      </c>
      <c r="B5" s="24"/>
      <c r="C5" s="20">
        <f>DATE(YEAR(Info!$B$2-120),MONTH(Info!$B$2-120),1)</f>
        <v>38565</v>
      </c>
      <c r="E5" t="s">
        <v>165</v>
      </c>
    </row>
    <row r="6" spans="1:3" ht="12.75">
      <c r="A6" s="36" t="s">
        <v>168</v>
      </c>
      <c r="B6" s="24"/>
      <c r="C6" s="20">
        <f>DATE(YEAR(Info!$B$2-120),MONTH(Info!$B$2-120),1)</f>
        <v>38565</v>
      </c>
    </row>
    <row r="7" spans="1:3" ht="12.75">
      <c r="A7" s="36" t="s">
        <v>169</v>
      </c>
      <c r="B7" s="24"/>
      <c r="C7" s="20">
        <f>Info!$B$2-120</f>
        <v>38569</v>
      </c>
    </row>
    <row r="8" spans="1:3" ht="12.75">
      <c r="A8" s="36" t="s">
        <v>170</v>
      </c>
      <c r="B8" s="24"/>
      <c r="C8" s="20">
        <f>Info!$B$2-120</f>
        <v>38569</v>
      </c>
    </row>
    <row r="9" spans="1:3" ht="12.75">
      <c r="A9" s="36" t="s">
        <v>171</v>
      </c>
      <c r="B9" s="24"/>
      <c r="C9" s="20">
        <f>DATE(YEAR(Info!$B$2-90),MONTH(Info!$B$2-90),1)</f>
        <v>38596</v>
      </c>
    </row>
    <row r="10" spans="1:3" ht="12.75">
      <c r="A10" s="36" t="s">
        <v>172</v>
      </c>
      <c r="B10" s="24"/>
      <c r="C10" s="20">
        <f>Info!$B$2-90</f>
        <v>38599</v>
      </c>
    </row>
    <row r="11" spans="1:3" ht="12.75">
      <c r="A11" s="36" t="s">
        <v>173</v>
      </c>
      <c r="B11" s="24"/>
      <c r="C11" s="20">
        <f>Info!$B$2-90</f>
        <v>38599</v>
      </c>
    </row>
    <row r="12" spans="1:5" ht="12.75">
      <c r="A12" s="36" t="s">
        <v>174</v>
      </c>
      <c r="B12" s="24"/>
      <c r="C12" s="20">
        <f>Info!$B$2-90</f>
        <v>38599</v>
      </c>
      <c r="E12" t="s">
        <v>165</v>
      </c>
    </row>
    <row r="13" spans="1:3" ht="12.75">
      <c r="A13" s="36" t="s">
        <v>175</v>
      </c>
      <c r="B13" s="24"/>
      <c r="C13" s="20">
        <f>Info!$B$2-90</f>
        <v>38599</v>
      </c>
    </row>
    <row r="14" spans="1:3" ht="12.75">
      <c r="A14" s="36" t="s">
        <v>176</v>
      </c>
      <c r="B14" s="24"/>
      <c r="C14" s="20">
        <f>DATE(YEAR(Info!$B$2-60),MONTH(Info!$B$2-60),1)</f>
        <v>38626</v>
      </c>
    </row>
    <row r="15" spans="1:5" ht="12.75">
      <c r="A15" s="36" t="s">
        <v>177</v>
      </c>
      <c r="B15" s="24"/>
      <c r="C15" s="20">
        <f>Info!$B$2-60</f>
        <v>38629</v>
      </c>
      <c r="E15" t="s">
        <v>165</v>
      </c>
    </row>
    <row r="16" spans="1:5" ht="12.75">
      <c r="A16" s="36" t="s">
        <v>178</v>
      </c>
      <c r="B16" s="24"/>
      <c r="C16" s="20">
        <f>Info!$B$2-60</f>
        <v>38629</v>
      </c>
      <c r="E16" t="s">
        <v>179</v>
      </c>
    </row>
    <row r="17" spans="1:3" ht="12.75">
      <c r="A17" s="36" t="s">
        <v>180</v>
      </c>
      <c r="B17" s="24"/>
      <c r="C17" s="20">
        <f>DATE(YEAR(Info!$B$2-60),MONTH(Info!$B$2-60),15)</f>
        <v>38640</v>
      </c>
    </row>
    <row r="18" spans="1:3" ht="12.75">
      <c r="A18" s="36" t="s">
        <v>181</v>
      </c>
      <c r="B18" s="24"/>
      <c r="C18" s="20">
        <f>DATE(YEAR(Info!$B$2-60),MONTH(Info!$B$2-60),15)</f>
        <v>38640</v>
      </c>
    </row>
    <row r="19" spans="1:3" ht="12.75">
      <c r="A19" s="36" t="s">
        <v>182</v>
      </c>
      <c r="B19" s="24"/>
      <c r="C19" s="20">
        <f>Info!$B$2-45</f>
        <v>38644</v>
      </c>
    </row>
    <row r="20" spans="1:3" ht="12.75">
      <c r="A20" s="36" t="s">
        <v>183</v>
      </c>
      <c r="B20" s="24"/>
      <c r="C20" s="20">
        <f>Info!$B$2-45</f>
        <v>38644</v>
      </c>
    </row>
    <row r="21" spans="1:3" ht="12.75">
      <c r="A21" s="36" t="s">
        <v>184</v>
      </c>
      <c r="B21" s="24"/>
      <c r="C21" s="20">
        <f>Info!$B$2-30</f>
        <v>38659</v>
      </c>
    </row>
    <row r="22" spans="1:3" ht="12.75">
      <c r="A22" s="36" t="s">
        <v>185</v>
      </c>
      <c r="B22" s="24"/>
      <c r="C22" s="20">
        <f>Info!$B$2-30</f>
        <v>38659</v>
      </c>
    </row>
    <row r="23" spans="1:3" ht="12.75">
      <c r="A23" s="36" t="s">
        <v>186</v>
      </c>
      <c r="B23" s="24"/>
      <c r="C23" s="20">
        <f>Info!$B$2-30</f>
        <v>38659</v>
      </c>
    </row>
    <row r="24" spans="1:3" ht="12.75">
      <c r="A24" s="36" t="s">
        <v>187</v>
      </c>
      <c r="B24" s="24"/>
      <c r="C24" s="20">
        <f>Info!$B$2-30</f>
        <v>38659</v>
      </c>
    </row>
    <row r="25" spans="1:3" ht="12.75">
      <c r="A25" s="36" t="s">
        <v>188</v>
      </c>
      <c r="B25" s="24"/>
      <c r="C25" s="20">
        <f>Info!$B$2-30</f>
        <v>38659</v>
      </c>
    </row>
    <row r="26" spans="1:3" ht="12.75">
      <c r="A26" s="36" t="s">
        <v>189</v>
      </c>
      <c r="B26" s="24"/>
      <c r="C26" s="20">
        <f>Info!$B$2-30</f>
        <v>38659</v>
      </c>
    </row>
    <row r="27" spans="1:3" ht="12.75">
      <c r="A27" s="36" t="s">
        <v>190</v>
      </c>
      <c r="B27" s="24"/>
      <c r="C27" s="20">
        <f>Info!$B$2-30</f>
        <v>38659</v>
      </c>
    </row>
    <row r="28" spans="1:3" ht="12.75">
      <c r="A28" s="36" t="s">
        <v>244</v>
      </c>
      <c r="B28" s="24"/>
      <c r="C28" s="20">
        <f>Info!$B$2-30</f>
        <v>38659</v>
      </c>
    </row>
    <row r="29" spans="1:3" ht="12.75">
      <c r="A29" s="36" t="s">
        <v>191</v>
      </c>
      <c r="B29" s="24"/>
      <c r="C29" s="20">
        <f>Info!$B$2-14</f>
        <v>38675</v>
      </c>
    </row>
    <row r="30" spans="1:3" ht="12.75">
      <c r="A30" s="36" t="s">
        <v>192</v>
      </c>
      <c r="B30" s="24"/>
      <c r="C30" s="20">
        <f>Info!$B$2-14</f>
        <v>38675</v>
      </c>
    </row>
    <row r="31" spans="1:3" ht="12.75">
      <c r="A31" s="36" t="s">
        <v>193</v>
      </c>
      <c r="B31" s="24"/>
      <c r="C31" s="20">
        <f>Info!$B$2-7</f>
        <v>38682</v>
      </c>
    </row>
    <row r="32" spans="1:3" ht="12.75">
      <c r="A32" s="36" t="s">
        <v>194</v>
      </c>
      <c r="B32" s="24"/>
      <c r="C32" s="20">
        <f>Info!$B$2-7</f>
        <v>38682</v>
      </c>
    </row>
    <row r="33" spans="1:3" ht="12.75">
      <c r="A33" s="36" t="s">
        <v>195</v>
      </c>
      <c r="B33" s="24"/>
      <c r="C33" s="20">
        <f>Info!$B$2-7</f>
        <v>38682</v>
      </c>
    </row>
    <row r="34" spans="1:3" ht="12.75">
      <c r="A34" s="36" t="s">
        <v>196</v>
      </c>
      <c r="B34" s="24"/>
      <c r="C34" s="20">
        <f>Info!$B$2-7</f>
        <v>38682</v>
      </c>
    </row>
    <row r="35" spans="1:3" ht="12.75">
      <c r="A35" s="36" t="s">
        <v>197</v>
      </c>
      <c r="B35" s="24"/>
      <c r="C35" s="20">
        <f>Info!$B$2-7</f>
        <v>38682</v>
      </c>
    </row>
    <row r="36" spans="1:3" ht="12.75">
      <c r="A36" s="36" t="s">
        <v>198</v>
      </c>
      <c r="B36" s="24"/>
      <c r="C36" s="20">
        <f>Info!$B$2-7</f>
        <v>38682</v>
      </c>
    </row>
    <row r="37" spans="1:3" ht="12.75">
      <c r="A37" s="36" t="s">
        <v>199</v>
      </c>
      <c r="B37" s="24"/>
      <c r="C37" s="20">
        <f>Info!$B$2-7</f>
        <v>38682</v>
      </c>
    </row>
    <row r="38" spans="1:3" ht="12.75">
      <c r="A38" s="36" t="s">
        <v>200</v>
      </c>
      <c r="B38" s="24"/>
      <c r="C38" s="20">
        <f>Info!$B$2-2</f>
        <v>38687</v>
      </c>
    </row>
    <row r="39" spans="1:3" ht="12.75">
      <c r="A39" s="36" t="s">
        <v>201</v>
      </c>
      <c r="B39" s="24"/>
      <c r="C39" s="20">
        <f>Info!$B$2-1</f>
        <v>38688</v>
      </c>
    </row>
    <row r="40" spans="1:3" ht="12.75">
      <c r="A40" s="36" t="s">
        <v>202</v>
      </c>
      <c r="B40" s="24"/>
      <c r="C40" s="20">
        <f>Info!$B$2-1</f>
        <v>38688</v>
      </c>
    </row>
    <row r="41" spans="1:3" ht="12.75">
      <c r="A41" s="36" t="s">
        <v>203</v>
      </c>
      <c r="B41" s="24"/>
      <c r="C41" s="20">
        <f>Info!$B$2-1</f>
        <v>38688</v>
      </c>
    </row>
    <row r="42" spans="1:3" ht="12.75">
      <c r="A42" s="36" t="s">
        <v>204</v>
      </c>
      <c r="B42" s="24"/>
      <c r="C42" s="20">
        <f>Info!$B$2-1</f>
        <v>38688</v>
      </c>
    </row>
    <row r="43" spans="1:4" ht="12.75">
      <c r="A43" s="36" t="s">
        <v>205</v>
      </c>
      <c r="B43" s="24"/>
      <c r="C43" s="20">
        <f>Info!$B$2</f>
        <v>38689</v>
      </c>
      <c r="D43" s="35">
        <f>MIN(Info!$B$6,Info!$C$6)-TIME(1,0,0)</f>
        <v>0.3125</v>
      </c>
    </row>
    <row r="44" spans="1:4" ht="25.5">
      <c r="A44" s="36" t="s">
        <v>206</v>
      </c>
      <c r="B44" s="24"/>
      <c r="C44" s="20">
        <f>Info!$B$2</f>
        <v>38689</v>
      </c>
      <c r="D44" s="35">
        <f>MIN(Info!$B$5,Info!$C$5)-TIME(1,0,0)</f>
        <v>0.22916666666666666</v>
      </c>
    </row>
    <row r="45" spans="1:4" ht="12.75">
      <c r="A45" s="36" t="s">
        <v>207</v>
      </c>
      <c r="B45" s="24"/>
      <c r="C45" s="20">
        <f>Info!$B$2</f>
        <v>38689</v>
      </c>
      <c r="D45" s="35">
        <f>MIN(Info!$B$5,Info!$C$5)-TIME(1,0,0)</f>
        <v>0.22916666666666666</v>
      </c>
    </row>
    <row r="46" spans="1:4" ht="12.75">
      <c r="A46" s="36" t="s">
        <v>208</v>
      </c>
      <c r="B46" s="24"/>
      <c r="C46" s="20">
        <f>Info!$B$2</f>
        <v>38689</v>
      </c>
      <c r="D46" s="35">
        <f>MIN(Info!$B$5,Info!$C$5)-TIME(1,0,0)</f>
        <v>0.22916666666666666</v>
      </c>
    </row>
    <row r="47" spans="1:4" ht="25.5">
      <c r="A47" s="36" t="s">
        <v>209</v>
      </c>
      <c r="B47" s="24"/>
      <c r="C47" s="20">
        <f>Info!$B$2</f>
        <v>38689</v>
      </c>
      <c r="D47" s="35">
        <f>MIN(Info!$B$5,Info!$C$5)-TIME(1,0,0)</f>
        <v>0.22916666666666666</v>
      </c>
    </row>
    <row r="48" spans="1:4" ht="25.5">
      <c r="A48" s="36" t="s">
        <v>210</v>
      </c>
      <c r="B48" s="24"/>
      <c r="C48" s="20">
        <f>Info!$B$2</f>
        <v>38689</v>
      </c>
      <c r="D48" s="35">
        <f>MIN(Info!$B$5,Info!$C$5)-TIME(1,0,0)</f>
        <v>0.22916666666666666</v>
      </c>
    </row>
    <row r="49" spans="1:3" ht="12.75">
      <c r="A49" s="36" t="s">
        <v>211</v>
      </c>
      <c r="B49" s="24"/>
      <c r="C49" s="20">
        <f>Info!$B$2</f>
        <v>38689</v>
      </c>
    </row>
    <row r="50" spans="1:4" ht="25.5">
      <c r="A50" s="36" t="s">
        <v>212</v>
      </c>
      <c r="B50" s="24" t="s">
        <v>223</v>
      </c>
      <c r="C50" s="20">
        <f>Info!$B$2</f>
        <v>38689</v>
      </c>
      <c r="D50" s="35">
        <f>MIN(Info!$B$5,Info!$C$5)-TIME(2,0,0)</f>
        <v>0.1875</v>
      </c>
    </row>
    <row r="51" spans="1:4" ht="25.5">
      <c r="A51" s="36" t="s">
        <v>213</v>
      </c>
      <c r="B51" s="24" t="s">
        <v>222</v>
      </c>
      <c r="C51" s="20">
        <f>Info!$B$2</f>
        <v>38689</v>
      </c>
      <c r="D51" s="35">
        <f>MIN(Info!$B$5,Info!$C$5)-TIME(2,0,0)</f>
        <v>0.1875</v>
      </c>
    </row>
    <row r="52" spans="1:4" ht="12.75">
      <c r="A52" s="36" t="s">
        <v>214</v>
      </c>
      <c r="B52" s="24" t="s">
        <v>224</v>
      </c>
      <c r="C52" s="20">
        <f>Info!$B$2</f>
        <v>38689</v>
      </c>
      <c r="D52" s="35">
        <f>MIN(Info!$B$5,Info!$C$5)-TIME(2,0,0)</f>
        <v>0.1875</v>
      </c>
    </row>
    <row r="53" spans="1:4" ht="25.5">
      <c r="A53" s="36" t="s">
        <v>221</v>
      </c>
      <c r="B53" s="24" t="s">
        <v>220</v>
      </c>
      <c r="C53" s="20">
        <f>Info!$B$2</f>
        <v>38689</v>
      </c>
      <c r="D53" s="35">
        <f>MIN(Info!$B$5,Info!$C$5)-TIME(2,0,0)</f>
        <v>0.1875</v>
      </c>
    </row>
    <row r="54" spans="1:4" ht="12.75">
      <c r="A54" s="36" t="s">
        <v>0</v>
      </c>
      <c r="B54" s="24"/>
      <c r="C54" s="20">
        <f>Info!$B$2</f>
        <v>38689</v>
      </c>
      <c r="D54" s="35">
        <f>MIN(Info!$B$5,Info!$C$5)-TIME(2,0,0)</f>
        <v>0.1875</v>
      </c>
    </row>
    <row r="55" spans="1:4" ht="12.75">
      <c r="A55" s="36" t="s">
        <v>1</v>
      </c>
      <c r="B55" s="24"/>
      <c r="C55" s="20">
        <f>Info!$B$2</f>
        <v>38689</v>
      </c>
      <c r="D55" s="35">
        <f>MIN(Info!$B$5,Info!$C$5)-TIME(2,0,0)</f>
        <v>0.1875</v>
      </c>
    </row>
    <row r="56" spans="1:4" ht="12.75">
      <c r="A56" s="36" t="s">
        <v>2</v>
      </c>
      <c r="B56" s="24"/>
      <c r="C56" s="20">
        <f>Info!$B$2</f>
        <v>38689</v>
      </c>
      <c r="D56" s="35">
        <f>MIN(Info!$B$5,Info!$C$5)-TIME(2,0,0)</f>
        <v>0.1875</v>
      </c>
    </row>
    <row r="57" spans="1:4" ht="12.75">
      <c r="A57" s="36" t="s">
        <v>228</v>
      </c>
      <c r="B57" s="24" t="s">
        <v>227</v>
      </c>
      <c r="C57" s="20">
        <f>Info!$B$2</f>
        <v>38689</v>
      </c>
      <c r="D57" s="35">
        <f>MIN(Info!$B$5,Info!$C$5)-TIME(2,0,0)</f>
        <v>0.1875</v>
      </c>
    </row>
    <row r="58" spans="1:4" ht="25.5">
      <c r="A58" s="36" t="s">
        <v>229</v>
      </c>
      <c r="B58" s="24" t="s">
        <v>225</v>
      </c>
      <c r="C58" s="20">
        <f>Info!$B$2</f>
        <v>38689</v>
      </c>
      <c r="D58" s="35">
        <f>MIN(Info!$B$5,Info!$C$5)-TIME(2,0,0)</f>
        <v>0.1875</v>
      </c>
    </row>
    <row r="59" spans="1:4" ht="12.75">
      <c r="A59" s="36" t="s">
        <v>230</v>
      </c>
      <c r="B59" s="24" t="s">
        <v>226</v>
      </c>
      <c r="C59" s="20">
        <f>Info!$B$2</f>
        <v>38689</v>
      </c>
      <c r="D59" s="35">
        <f>MIN(Info!$B$5,Info!$C$5)-TIME(2,0,0)</f>
        <v>0.1875</v>
      </c>
    </row>
    <row r="60" spans="1:4" ht="12.75">
      <c r="A60" s="36" t="s">
        <v>3</v>
      </c>
      <c r="B60" s="24"/>
      <c r="C60" s="20">
        <f>Info!$B$2</f>
        <v>38689</v>
      </c>
      <c r="D60" s="35">
        <f>MIN(Info!$B$5,Info!$C$5)-TIME(2,0,0)</f>
        <v>0.1875</v>
      </c>
    </row>
    <row r="61" spans="1:4" ht="12.75">
      <c r="A61" s="36" t="s">
        <v>4</v>
      </c>
      <c r="B61" s="24"/>
      <c r="C61" s="20">
        <f>Info!$B$2</f>
        <v>38689</v>
      </c>
      <c r="D61" s="35">
        <f>MIN(Info!$B$5,Info!$C$5)-TIME(2,0,0)</f>
        <v>0.1875</v>
      </c>
    </row>
    <row r="62" spans="1:4" ht="12.75">
      <c r="A62" s="36" t="s">
        <v>5</v>
      </c>
      <c r="B62" s="24"/>
      <c r="C62" s="20">
        <f>Info!$B$2</f>
        <v>38689</v>
      </c>
      <c r="D62" s="35">
        <f>MIN(Info!$B$5,Info!$C$5)-TIME(2,0,0)</f>
        <v>0.1875</v>
      </c>
    </row>
    <row r="63" spans="1:4" ht="12.75">
      <c r="A63" s="36" t="s">
        <v>6</v>
      </c>
      <c r="B63" s="24"/>
      <c r="C63" s="20">
        <f>Info!$B$2</f>
        <v>38689</v>
      </c>
      <c r="D63" s="35">
        <f>MIN(Info!$B$5,Info!$C$5)-TIME(2,0,0)</f>
        <v>0.1875</v>
      </c>
    </row>
    <row r="64" spans="1:4" ht="12.75">
      <c r="A64" s="36" t="s">
        <v>7</v>
      </c>
      <c r="B64" s="24"/>
      <c r="C64" s="20">
        <f>Info!$B$2</f>
        <v>38689</v>
      </c>
      <c r="D64" s="35">
        <f>MIN(Info!$B$5,Info!$C$5)-TIME(2,0,0)</f>
        <v>0.1875</v>
      </c>
    </row>
    <row r="65" spans="1:4" ht="12.75">
      <c r="A65" s="36" t="s">
        <v>8</v>
      </c>
      <c r="B65" s="24"/>
      <c r="C65" s="20">
        <f>Info!$B$2</f>
        <v>38689</v>
      </c>
      <c r="D65" s="35">
        <f>MIN(Info!$B$5,Info!$C$5)-TIME(2,0,0)</f>
        <v>0.1875</v>
      </c>
    </row>
    <row r="66" spans="1:4" ht="12.75">
      <c r="A66" s="36" t="s">
        <v>9</v>
      </c>
      <c r="B66" s="24"/>
      <c r="C66" s="20">
        <f>Info!$B$2</f>
        <v>38689</v>
      </c>
      <c r="D66" s="35">
        <f>MIN(Info!$B$5,Info!$C$5)-TIME(2,0,0)</f>
        <v>0.1875</v>
      </c>
    </row>
    <row r="67" spans="1:4" ht="12.75">
      <c r="A67" s="36" t="s">
        <v>10</v>
      </c>
      <c r="B67" s="24"/>
      <c r="C67" s="20">
        <f>Info!$B$2</f>
        <v>38689</v>
      </c>
      <c r="D67" s="35">
        <f>MIN(Info!$B$5,Info!$C$5)-TIME(2,0,0)</f>
        <v>0.1875</v>
      </c>
    </row>
    <row r="68" spans="1:4" ht="12.75">
      <c r="A68" s="36" t="s">
        <v>11</v>
      </c>
      <c r="B68" s="24"/>
      <c r="C68" s="20">
        <f>Info!$B$2</f>
        <v>38689</v>
      </c>
      <c r="D68" s="35">
        <f>MIN(Info!$B$5,Info!$C$5)-TIME(2,0,0)</f>
        <v>0.1875</v>
      </c>
    </row>
    <row r="69" spans="1:4" ht="12.75">
      <c r="A69" s="36" t="s">
        <v>12</v>
      </c>
      <c r="B69" s="24"/>
      <c r="C69" s="20">
        <f>Info!$B$2</f>
        <v>38689</v>
      </c>
      <c r="D69" s="35">
        <f>MIN(Info!$B$5,Info!$C$5)-TIME(2,0,0)</f>
        <v>0.1875</v>
      </c>
    </row>
    <row r="70" spans="1:4" ht="12.75">
      <c r="A70" s="36" t="s">
        <v>13</v>
      </c>
      <c r="B70" s="24"/>
      <c r="C70" s="20">
        <f>Info!$B$2</f>
        <v>38689</v>
      </c>
      <c r="D70" s="35">
        <f>MIN(Info!$B$5,Info!$C$5)-TIME(2,0,0)</f>
        <v>0.1875</v>
      </c>
    </row>
    <row r="71" spans="1:4" ht="25.5">
      <c r="A71" s="36" t="s">
        <v>14</v>
      </c>
      <c r="B71" s="24"/>
      <c r="C71" s="20">
        <f>Info!$B$2</f>
        <v>38689</v>
      </c>
      <c r="D71" s="35">
        <f>MIN(Info!$B$5,Info!$C$5)-TIME(2,0,0)</f>
        <v>0.1875</v>
      </c>
    </row>
    <row r="72" spans="1:4" ht="12.75">
      <c r="A72" s="36" t="s">
        <v>15</v>
      </c>
      <c r="B72" s="24"/>
      <c r="C72" s="20">
        <f>Info!$B$2</f>
        <v>38689</v>
      </c>
      <c r="D72" s="35">
        <f>MIN(Info!$B$5,Info!$C$5)-TIME(2,0,0)</f>
        <v>0.1875</v>
      </c>
    </row>
    <row r="73" spans="1:4" ht="12.75">
      <c r="A73" s="36" t="s">
        <v>16</v>
      </c>
      <c r="B73" s="24"/>
      <c r="C73" s="20">
        <f>Info!$B$2</f>
        <v>38689</v>
      </c>
      <c r="D73" s="35">
        <f>MIN(Info!$B$5,Info!$C$5)-TIME(2,0,0)</f>
        <v>0.1875</v>
      </c>
    </row>
    <row r="74" spans="1:4" ht="12.75">
      <c r="A74" s="36" t="s">
        <v>17</v>
      </c>
      <c r="B74" s="24"/>
      <c r="C74" s="20">
        <f>Info!$B$2</f>
        <v>38689</v>
      </c>
      <c r="D74" s="35">
        <f>MIN(Info!$B$5,Info!$C$5)-TIME(2,0,0)</f>
        <v>0.1875</v>
      </c>
    </row>
    <row r="75" spans="1:4" ht="12.75">
      <c r="A75" s="36" t="s">
        <v>18</v>
      </c>
      <c r="B75" s="24"/>
      <c r="C75" s="20">
        <f>Info!$B$2</f>
        <v>38689</v>
      </c>
      <c r="D75" s="35">
        <f>MIN(Info!$B$5,Info!$C$5)-TIME(2,0,0)</f>
        <v>0.1875</v>
      </c>
    </row>
    <row r="76" spans="1:4" ht="12.75">
      <c r="A76" s="36" t="s">
        <v>19</v>
      </c>
      <c r="B76" s="24"/>
      <c r="C76" s="20">
        <f>Info!$B$2</f>
        <v>38689</v>
      </c>
      <c r="D76" s="35">
        <f>MIN(Info!$B$5,Info!$C$5)-TIME(2,0,0)</f>
        <v>0.1875</v>
      </c>
    </row>
    <row r="77" spans="1:4" ht="12.75">
      <c r="A77" s="36" t="s">
        <v>20</v>
      </c>
      <c r="B77" s="24"/>
      <c r="C77" s="20">
        <f>Info!$B$2</f>
        <v>38689</v>
      </c>
      <c r="D77" s="35">
        <f>MIN(Info!$B$5,Info!$C$5)-TIME(2,0,0)</f>
        <v>0.1875</v>
      </c>
    </row>
    <row r="78" spans="1:4" ht="12.75">
      <c r="A78" s="36" t="s">
        <v>21</v>
      </c>
      <c r="B78" s="24"/>
      <c r="C78" s="20">
        <f>Info!$B$2</f>
        <v>38689</v>
      </c>
      <c r="D78" s="35">
        <f>MIN(Info!$B$5,Info!$C$5)-TIME(2,0,0)</f>
        <v>0.1875</v>
      </c>
    </row>
    <row r="79" spans="1:4" ht="12.75">
      <c r="A79" s="36" t="s">
        <v>22</v>
      </c>
      <c r="B79" s="24"/>
      <c r="C79" s="20">
        <f>Info!$B$2</f>
        <v>38689</v>
      </c>
      <c r="D79" s="35">
        <f>MIN(Info!$B$5,Info!$C$5)-TIME(2,0,0)</f>
        <v>0.1875</v>
      </c>
    </row>
    <row r="80" spans="1:4" ht="12.75">
      <c r="A80" s="36" t="s">
        <v>23</v>
      </c>
      <c r="B80" s="24"/>
      <c r="C80" s="20">
        <f>Info!$B$2</f>
        <v>38689</v>
      </c>
      <c r="D80" s="35">
        <f>MIN(Info!$B$5,Info!$C$5)-TIME(2,0,0)</f>
        <v>0.1875</v>
      </c>
    </row>
    <row r="81" spans="1:4" ht="12.75">
      <c r="A81" s="36" t="s">
        <v>24</v>
      </c>
      <c r="B81" s="24"/>
      <c r="C81" s="20">
        <f>Info!$B$2</f>
        <v>38689</v>
      </c>
      <c r="D81" s="35">
        <f>MIN(Info!$B$5,Info!$C$5)-TIME(2,0,0)</f>
        <v>0.1875</v>
      </c>
    </row>
    <row r="82" spans="1:4" ht="12.75">
      <c r="A82" s="36" t="s">
        <v>25</v>
      </c>
      <c r="B82" s="24"/>
      <c r="C82" s="20">
        <f>Info!$B$2</f>
        <v>38689</v>
      </c>
      <c r="D82" s="35">
        <f>MIN(Info!$B$5,Info!$C$5)-TIME(2,0,0)</f>
        <v>0.1875</v>
      </c>
    </row>
    <row r="83" spans="1:4" ht="12.75">
      <c r="A83" s="36" t="s">
        <v>26</v>
      </c>
      <c r="B83" s="24"/>
      <c r="C83" s="20">
        <f>Info!$B$2</f>
        <v>38689</v>
      </c>
      <c r="D83" s="35">
        <f>MIN(Info!$B$5,Info!$C$5)-TIME(2,0,0)</f>
        <v>0.1875</v>
      </c>
    </row>
    <row r="84" spans="1:4" ht="12.75">
      <c r="A84" s="36" t="s">
        <v>27</v>
      </c>
      <c r="B84" s="24"/>
      <c r="C84" s="20">
        <f>Info!$B$2</f>
        <v>38689</v>
      </c>
      <c r="D84" s="35">
        <f>MIN(Info!$B$5,Info!$C$5)-TIME(2,0,0)</f>
        <v>0.1875</v>
      </c>
    </row>
    <row r="85" spans="1:4" ht="12.75">
      <c r="A85" s="36" t="s">
        <v>28</v>
      </c>
      <c r="B85" s="24"/>
      <c r="C85" s="20">
        <f>Info!$B$2</f>
        <v>38689</v>
      </c>
      <c r="D85" s="35">
        <f>MIN(Info!$B$5,Info!$C$5)-TIME(2,0,0)</f>
        <v>0.1875</v>
      </c>
    </row>
    <row r="86" spans="1:4" ht="12.75">
      <c r="A86" s="36" t="s">
        <v>29</v>
      </c>
      <c r="B86" s="24"/>
      <c r="C86" s="20">
        <f>Info!$B$2</f>
        <v>38689</v>
      </c>
      <c r="D86" s="35">
        <f>MIN(Info!$B$5,Info!$C$5)-TIME(2,0,0)</f>
        <v>0.1875</v>
      </c>
    </row>
    <row r="87" spans="1:4" ht="12.75">
      <c r="A87" s="36" t="s">
        <v>30</v>
      </c>
      <c r="B87" s="24"/>
      <c r="C87" s="20">
        <f>Info!$B$2</f>
        <v>38689</v>
      </c>
      <c r="D87" s="35">
        <f>MIN(Info!$B$5,Info!$C$5)-TIME(2,0,0)</f>
        <v>0.1875</v>
      </c>
    </row>
    <row r="88" spans="1:4" ht="12.75">
      <c r="A88" s="36" t="s">
        <v>31</v>
      </c>
      <c r="B88" s="24"/>
      <c r="C88" s="20">
        <f>Info!$B$2</f>
        <v>38689</v>
      </c>
      <c r="D88" s="35">
        <f>MIN(Info!$B$5,Info!$C$5)-TIME(2,0,0)</f>
        <v>0.1875</v>
      </c>
    </row>
    <row r="89" spans="1:4" ht="12.75">
      <c r="A89" s="36" t="s">
        <v>32</v>
      </c>
      <c r="B89" s="24"/>
      <c r="C89" s="20">
        <f>Info!$B$2</f>
        <v>38689</v>
      </c>
      <c r="D89" s="35">
        <f>MIN(Info!$B$5,Info!$C$5)-TIME(2,0,0)</f>
        <v>0.1875</v>
      </c>
    </row>
    <row r="90" spans="1:4" ht="12.75">
      <c r="A90" s="36" t="s">
        <v>33</v>
      </c>
      <c r="B90" s="24"/>
      <c r="C90" s="20">
        <f>Info!$B$2</f>
        <v>38689</v>
      </c>
      <c r="D90" s="35">
        <f>MIN(Info!$B$5,Info!$C$5)-TIME(2,0,0)</f>
        <v>0.1875</v>
      </c>
    </row>
    <row r="91" spans="1:4" ht="12.75">
      <c r="A91" s="36" t="s">
        <v>34</v>
      </c>
      <c r="B91" s="24"/>
      <c r="C91" s="20">
        <f>Info!$B$2</f>
        <v>38689</v>
      </c>
      <c r="D91" s="35">
        <f>MIN(Info!$B$5,Info!$C$5)-TIME(2,0,0)</f>
        <v>0.1875</v>
      </c>
    </row>
    <row r="92" spans="1:4" ht="12.75">
      <c r="A92" s="36" t="s">
        <v>35</v>
      </c>
      <c r="B92" s="24"/>
      <c r="C92" s="20">
        <f>Info!$B$2</f>
        <v>38689</v>
      </c>
      <c r="D92" s="35">
        <f>MIN(Info!$B$5,Info!$C$5)-TIME(2,0,0)</f>
        <v>0.1875</v>
      </c>
    </row>
    <row r="93" spans="1:4" ht="12.75">
      <c r="A93" s="36" t="s">
        <v>36</v>
      </c>
      <c r="B93" s="24"/>
      <c r="C93" s="20">
        <f>Info!$B$2</f>
        <v>38689</v>
      </c>
      <c r="D93" s="35">
        <f>MIN(Info!$B$5,Info!$C$5)-TIME(2,0,0)</f>
        <v>0.1875</v>
      </c>
    </row>
    <row r="94" spans="1:4" ht="12.75">
      <c r="A94" s="36" t="s">
        <v>37</v>
      </c>
      <c r="B94" s="24"/>
      <c r="C94" s="20">
        <f>Info!$B$2</f>
        <v>38689</v>
      </c>
      <c r="D94" s="35">
        <f>MIN(Info!$B$5,Info!$C$5)-TIME(2,0,0)</f>
        <v>0.1875</v>
      </c>
    </row>
    <row r="95" spans="1:4" ht="12.75">
      <c r="A95" s="36" t="s">
        <v>38</v>
      </c>
      <c r="B95" s="24"/>
      <c r="C95" s="20">
        <f>Info!$B$2</f>
        <v>38689</v>
      </c>
      <c r="D95" s="35">
        <f>MIN(Info!$B$5,Info!$C$5)-TIME(2,0,0)</f>
        <v>0.1875</v>
      </c>
    </row>
    <row r="96" spans="1:4" ht="38.25">
      <c r="A96" s="36" t="s">
        <v>39</v>
      </c>
      <c r="B96" s="24" t="s">
        <v>234</v>
      </c>
      <c r="C96" s="20">
        <f>Info!$B$2</f>
        <v>38689</v>
      </c>
      <c r="D96" s="35">
        <f>MIN(Info!$B$5,Info!$C$5)-TIME(2,0,0)</f>
        <v>0.1875</v>
      </c>
    </row>
    <row r="97" spans="1:4" ht="25.5">
      <c r="A97" s="36" t="s">
        <v>40</v>
      </c>
      <c r="B97" s="39" t="s">
        <v>231</v>
      </c>
      <c r="C97" s="20">
        <f>Info!$B$2</f>
        <v>38689</v>
      </c>
      <c r="D97" s="35">
        <f>MIN(Info!$B$5,Info!$C$5)-TIME(2,0,0)</f>
        <v>0.1875</v>
      </c>
    </row>
    <row r="98" spans="1:4" ht="38.25">
      <c r="A98" s="36" t="s">
        <v>41</v>
      </c>
      <c r="B98" s="39" t="s">
        <v>233</v>
      </c>
      <c r="C98" s="20">
        <f>Info!$B$2</f>
        <v>38689</v>
      </c>
      <c r="D98" s="35">
        <f>MIN(Info!$B$5,Info!$C$5)-TIME(2,0,0)</f>
        <v>0.1875</v>
      </c>
    </row>
    <row r="99" spans="1:3" ht="12.75">
      <c r="A99" s="36"/>
      <c r="B99" s="24"/>
      <c r="C99" s="20"/>
    </row>
    <row r="100" spans="1:4" ht="12.75">
      <c r="A100" s="37" t="s">
        <v>42</v>
      </c>
      <c r="B100" s="26"/>
      <c r="C100" s="40"/>
      <c r="D100" s="41"/>
    </row>
    <row r="101" spans="1:3" ht="25.5">
      <c r="A101" s="36" t="s">
        <v>235</v>
      </c>
      <c r="B101" s="39" t="s">
        <v>232</v>
      </c>
      <c r="C101" s="20">
        <f>Info!$B$2</f>
        <v>38689</v>
      </c>
    </row>
    <row r="102" spans="1:3" ht="12.75">
      <c r="A102" s="36" t="s">
        <v>43</v>
      </c>
      <c r="B102" s="24"/>
      <c r="C102" s="20">
        <f>Info!$B$2</f>
        <v>38689</v>
      </c>
    </row>
    <row r="103" spans="1:3" ht="12.75">
      <c r="A103" s="36" t="s">
        <v>44</v>
      </c>
      <c r="B103" s="24"/>
      <c r="C103" s="20">
        <f>Info!$B$2</f>
        <v>38689</v>
      </c>
    </row>
    <row r="104" spans="1:3" ht="12.75">
      <c r="A104" s="36" t="s">
        <v>45</v>
      </c>
      <c r="B104" s="24"/>
      <c r="C104" s="20">
        <f>Info!$B$2+7</f>
        <v>38696</v>
      </c>
    </row>
    <row r="105" spans="1:3" ht="25.5">
      <c r="A105" s="36" t="s">
        <v>46</v>
      </c>
      <c r="B105" s="24"/>
      <c r="C105" s="20">
        <f>Info!$B$2+3</f>
        <v>38692</v>
      </c>
    </row>
    <row r="106" spans="1:3" ht="12.75">
      <c r="A106" s="38" t="s">
        <v>47</v>
      </c>
      <c r="B106" s="25"/>
      <c r="C106" s="20">
        <f>Info!$B$2+14</f>
        <v>38703</v>
      </c>
    </row>
    <row r="107" spans="1:3" ht="12.75">
      <c r="A107" s="38" t="s">
        <v>48</v>
      </c>
      <c r="B107" s="25"/>
      <c r="C107" s="20">
        <f>Info!$B$2+14</f>
        <v>38703</v>
      </c>
    </row>
  </sheetData>
  <printOptions gridLines="1"/>
  <pageMargins left="0.75" right="0.75" top="1" bottom="1" header="0.5" footer="0.5"/>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21"/>
  <sheetViews>
    <sheetView workbookViewId="0" topLeftCell="A2">
      <selection activeCell="B22" sqref="B22"/>
    </sheetView>
  </sheetViews>
  <sheetFormatPr defaultColWidth="9.140625" defaultRowHeight="12.75"/>
  <cols>
    <col min="1" max="1" width="17.8515625" style="0" customWidth="1"/>
    <col min="2" max="16384" width="8.8515625" style="0" customWidth="1"/>
  </cols>
  <sheetData>
    <row r="1" ht="12.75">
      <c r="A1" t="s">
        <v>49</v>
      </c>
    </row>
    <row r="2" spans="2:6" ht="12.75">
      <c r="B2" t="s">
        <v>50</v>
      </c>
      <c r="C2" t="s">
        <v>51</v>
      </c>
      <c r="D2" t="s">
        <v>52</v>
      </c>
      <c r="E2" t="s">
        <v>53</v>
      </c>
      <c r="F2" t="s">
        <v>54</v>
      </c>
    </row>
    <row r="3" ht="12.75">
      <c r="A3" t="s">
        <v>55</v>
      </c>
    </row>
    <row r="4" ht="12.75">
      <c r="A4" t="s">
        <v>56</v>
      </c>
    </row>
    <row r="5" ht="12.75">
      <c r="A5" t="s">
        <v>57</v>
      </c>
    </row>
    <row r="6" ht="12.75">
      <c r="A6" t="s">
        <v>58</v>
      </c>
    </row>
    <row r="8" ht="12.75">
      <c r="A8" s="2" t="s">
        <v>59</v>
      </c>
    </row>
    <row r="9" ht="12.75">
      <c r="A9"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C6"/>
  <sheetViews>
    <sheetView workbookViewId="0" topLeftCell="A1">
      <selection activeCell="G15" sqref="G15"/>
    </sheetView>
  </sheetViews>
  <sheetFormatPr defaultColWidth="9.140625" defaultRowHeight="12.75"/>
  <cols>
    <col min="1" max="16384" width="8.8515625" style="0" customWidth="1"/>
  </cols>
  <sheetData>
    <row r="2" spans="1:3" ht="12.75">
      <c r="A2" t="s">
        <v>72</v>
      </c>
      <c r="B2">
        <v>1462</v>
      </c>
      <c r="C2" s="3">
        <f>B2/B6</f>
        <v>0.426487747957993</v>
      </c>
    </row>
    <row r="3" spans="1:3" ht="12.75">
      <c r="A3" t="s">
        <v>73</v>
      </c>
      <c r="B3">
        <v>1475</v>
      </c>
      <c r="C3" s="3">
        <f>B3/B6</f>
        <v>0.43028004667444575</v>
      </c>
    </row>
    <row r="4" spans="1:3" ht="12.75">
      <c r="A4" t="s">
        <v>74</v>
      </c>
      <c r="B4">
        <v>449</v>
      </c>
      <c r="C4" s="3">
        <f>B4/B6</f>
        <v>0.1309801633605601</v>
      </c>
    </row>
    <row r="5" spans="1:3" ht="12.75">
      <c r="A5" t="s">
        <v>75</v>
      </c>
      <c r="B5">
        <v>42</v>
      </c>
      <c r="C5" s="3">
        <f>B5/B6</f>
        <v>0.012252042007001166</v>
      </c>
    </row>
    <row r="6" ht="12.75">
      <c r="B6">
        <f>SUM(B2:B5)</f>
        <v>3428</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Race Planning Worksheet</dc:title>
  <dc:subject/>
  <dc:creator>Keith C Stone</dc:creator>
  <cp:keywords/>
  <dc:description/>
  <cp:lastModifiedBy>Keith Stone</cp:lastModifiedBy>
  <cp:lastPrinted>2005-10-30T20:28:20Z</cp:lastPrinted>
  <dcterms:modified xsi:type="dcterms:W3CDTF">2005-10-30T21:00:20Z</dcterms:modified>
  <cp:category/>
  <cp:version/>
  <cp:contentType/>
  <cp:contentStatus/>
</cp:coreProperties>
</file>